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08"/>
  <workbookPr autoCompressPictures="0"/>
  <mc:AlternateContent xmlns:mc="http://schemas.openxmlformats.org/markup-compatibility/2006">
    <mc:Choice Requires="x15">
      <x15ac:absPath xmlns:x15ac="http://schemas.microsoft.com/office/spreadsheetml/2010/11/ac" url="/Volumes/Samsung_T5/papers and reviews/HLHS/our paper/paper_HLHS_Dec2018/HLHS paper_semifinal/finals for submission/Submission to Circulation/to upload/Revision 5/Supplemental excel tables_final/"/>
    </mc:Choice>
  </mc:AlternateContent>
  <xr:revisionPtr revIDLastSave="0" documentId="8_{070F9E79-8CB1-4B48-8C34-6FEBE0053AD7}" xr6:coauthVersionLast="45" xr6:coauthVersionMax="45" xr10:uidLastSave="{00000000-0000-0000-0000-000000000000}"/>
  <bookViews>
    <workbookView xWindow="2940" yWindow="460" windowWidth="31000" windowHeight="19960" tabRatio="781" firstSheet="35" activeTab="46" xr2:uid="{00000000-000D-0000-FFFF-FFFF00000000}"/>
  </bookViews>
  <sheets>
    <sheet name="Fig 2C" sheetId="40" r:id="rId1"/>
    <sheet name="Fig 4A" sheetId="43" r:id="rId2"/>
    <sheet name="Fig 4B" sheetId="32" r:id="rId3"/>
    <sheet name="Fig 4D" sheetId="31" r:id="rId4"/>
    <sheet name="Fig 4E" sheetId="33" r:id="rId5"/>
    <sheet name="Fig 4F" sheetId="30" r:id="rId6"/>
    <sheet name="Fig 4G" sheetId="42" r:id="rId7"/>
    <sheet name="Fig 4H" sheetId="36" r:id="rId8"/>
    <sheet name="Fig 4I" sheetId="35" r:id="rId9"/>
    <sheet name="Fig 4J" sheetId="38" r:id="rId10"/>
    <sheet name="Fig 4K" sheetId="34" r:id="rId11"/>
    <sheet name="Fig 6C" sheetId="64" r:id="rId12"/>
    <sheet name="Fig 6E" sheetId="48" r:id="rId13"/>
    <sheet name="Fig 6F" sheetId="66" r:id="rId14"/>
    <sheet name="Fig 6H" sheetId="59" r:id="rId15"/>
    <sheet name="Fig 6I" sheetId="60" r:id="rId16"/>
    <sheet name="Fig 6J" sheetId="61" r:id="rId17"/>
    <sheet name="Fig 6K" sheetId="62" r:id="rId18"/>
    <sheet name="Fig 7A" sheetId="49" r:id="rId19"/>
    <sheet name="Fig 7B" sheetId="50" r:id="rId20"/>
    <sheet name="Fig 7D" sheetId="51" r:id="rId21"/>
    <sheet name="Fig 7E" sheetId="52" r:id="rId22"/>
    <sheet name="Fig 7F" sheetId="53" r:id="rId23"/>
    <sheet name="Fig 7G" sheetId="54" r:id="rId24"/>
    <sheet name="Fig 7H" sheetId="55" r:id="rId25"/>
    <sheet name="Supp fig IIIA" sheetId="28" r:id="rId26"/>
    <sheet name="Supp fig IVE" sheetId="56" r:id="rId27"/>
    <sheet name="Supp fig VE" sheetId="57" r:id="rId28"/>
    <sheet name="Supp fig VIC" sheetId="29" r:id="rId29"/>
    <sheet name="Supp fig VIIB" sheetId="6" r:id="rId30"/>
    <sheet name="Supp fig VIIC" sheetId="7" r:id="rId31"/>
    <sheet name="Supp fig VIID" sheetId="9" r:id="rId32"/>
    <sheet name="Supp fig VIIE" sheetId="15" r:id="rId33"/>
    <sheet name="Supp fig VIIF" sheetId="11" r:id="rId34"/>
    <sheet name="Supp fig VIIG" sheetId="12" r:id="rId35"/>
    <sheet name="Supp fig VIIH" sheetId="16" r:id="rId36"/>
    <sheet name="Supp fig VIII" sheetId="13" r:id="rId37"/>
    <sheet name="Supp fig XIC" sheetId="17" r:id="rId38"/>
    <sheet name="Supp fig XID" sheetId="18" r:id="rId39"/>
    <sheet name="Supp fig XIE" sheetId="19" r:id="rId40"/>
    <sheet name="Supp fig XIF" sheetId="20" r:id="rId41"/>
    <sheet name="Supp fig XIIB" sheetId="21" r:id="rId42"/>
    <sheet name="Supp fig XIIC" sheetId="22" r:id="rId43"/>
    <sheet name="Supp fig XIIE_top" sheetId="25" r:id="rId44"/>
    <sheet name="Supp fig XIIE_bottom" sheetId="26" r:id="rId45"/>
    <sheet name="Supp fig XIIF" sheetId="23" r:id="rId46"/>
    <sheet name="Supp fig XIIG" sheetId="27" r:id="rId47"/>
  </sheets>
  <externalReferences>
    <externalReference r:id="rId48"/>
    <externalReference r:id="rId49"/>
  </externalReferences>
  <calcPr calcId="19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77" i="66" l="1"/>
  <c r="N93" i="66"/>
  <c r="M93" i="66"/>
  <c r="L93" i="66"/>
  <c r="K93" i="66"/>
  <c r="N92" i="66"/>
  <c r="M92" i="66"/>
  <c r="L92" i="66"/>
  <c r="K92" i="66"/>
  <c r="N91" i="66"/>
  <c r="M91" i="66"/>
  <c r="L91" i="66"/>
  <c r="K91" i="66"/>
  <c r="N89" i="66"/>
  <c r="M89" i="66"/>
  <c r="L89" i="66"/>
  <c r="K89" i="66"/>
  <c r="N88" i="66"/>
  <c r="M88" i="66"/>
  <c r="L88" i="66"/>
  <c r="K88" i="66"/>
  <c r="N87" i="66"/>
  <c r="M87" i="66"/>
  <c r="L87" i="66"/>
  <c r="K87" i="66"/>
  <c r="L78" i="66"/>
  <c r="L79" i="66"/>
  <c r="K78" i="66"/>
  <c r="K79" i="66"/>
  <c r="M79" i="66"/>
  <c r="M77" i="66"/>
  <c r="L77" i="66"/>
  <c r="K77" i="66"/>
  <c r="G73" i="66"/>
  <c r="G75" i="66" s="1"/>
  <c r="F73" i="66"/>
  <c r="F75" i="66" s="1"/>
  <c r="E73" i="66"/>
  <c r="E75" i="66" s="1"/>
  <c r="D73" i="66"/>
  <c r="D75" i="66" s="1"/>
  <c r="G74" i="66"/>
  <c r="G72" i="66"/>
  <c r="F72" i="66"/>
  <c r="E72" i="66"/>
  <c r="D72" i="66"/>
  <c r="N53" i="66"/>
  <c r="N54" i="66"/>
  <c r="N55" i="66" s="1"/>
  <c r="M53" i="66"/>
  <c r="M55" i="66" s="1"/>
  <c r="M54" i="66"/>
  <c r="L53" i="66"/>
  <c r="L55" i="66" s="1"/>
  <c r="L54" i="66"/>
  <c r="K53" i="66"/>
  <c r="K54" i="66"/>
  <c r="N52" i="66"/>
  <c r="M52" i="66"/>
  <c r="L52" i="66"/>
  <c r="K52" i="66"/>
  <c r="G48" i="66"/>
  <c r="G50" i="66" s="1"/>
  <c r="F48" i="66"/>
  <c r="F50" i="66" s="1"/>
  <c r="E48" i="66"/>
  <c r="E50" i="66" s="1"/>
  <c r="D48" i="66"/>
  <c r="D50" i="66" s="1"/>
  <c r="G49" i="66"/>
  <c r="F49" i="66"/>
  <c r="E49" i="66"/>
  <c r="D49" i="66"/>
  <c r="G47" i="66"/>
  <c r="F47" i="66"/>
  <c r="E47" i="66"/>
  <c r="D47" i="66"/>
  <c r="N28" i="66"/>
  <c r="N30" i="66" s="1"/>
  <c r="M28" i="66"/>
  <c r="M30" i="66" s="1"/>
  <c r="L28" i="66"/>
  <c r="L30" i="66" s="1"/>
  <c r="K28" i="66"/>
  <c r="K30" i="66" s="1"/>
  <c r="N27" i="66"/>
  <c r="M27" i="66"/>
  <c r="L27" i="66"/>
  <c r="K27" i="66"/>
  <c r="G23" i="66"/>
  <c r="G25" i="66" s="1"/>
  <c r="F23" i="66"/>
  <c r="F25" i="66" s="1"/>
  <c r="E23" i="66"/>
  <c r="E25" i="66" s="1"/>
  <c r="D23" i="66"/>
  <c r="D25" i="66" s="1"/>
  <c r="G24" i="66"/>
  <c r="F24" i="66"/>
  <c r="G22" i="66"/>
  <c r="F22" i="66"/>
  <c r="E22" i="66"/>
  <c r="D22" i="66"/>
  <c r="K51" i="64"/>
  <c r="K56" i="64" s="1"/>
  <c r="J51" i="64"/>
  <c r="J56" i="64" s="1"/>
  <c r="I51" i="64"/>
  <c r="I56" i="64" s="1"/>
  <c r="H51" i="64"/>
  <c r="H56" i="64" s="1"/>
  <c r="G51" i="64"/>
  <c r="G56" i="64" s="1"/>
  <c r="F51" i="64"/>
  <c r="F56" i="64" s="1"/>
  <c r="E51" i="64"/>
  <c r="E56" i="64" s="1"/>
  <c r="K50" i="64"/>
  <c r="K55" i="64" s="1"/>
  <c r="J50" i="64"/>
  <c r="J55" i="64" s="1"/>
  <c r="I50" i="64"/>
  <c r="I55" i="64" s="1"/>
  <c r="H50" i="64"/>
  <c r="H55" i="64" s="1"/>
  <c r="G50" i="64"/>
  <c r="G55" i="64" s="1"/>
  <c r="F50" i="64"/>
  <c r="F55" i="64" s="1"/>
  <c r="E50" i="64"/>
  <c r="E55" i="64" s="1"/>
  <c r="K49" i="64"/>
  <c r="K54" i="64" s="1"/>
  <c r="J49" i="64"/>
  <c r="J54" i="64" s="1"/>
  <c r="I49" i="64"/>
  <c r="I54" i="64" s="1"/>
  <c r="H49" i="64"/>
  <c r="H54" i="64" s="1"/>
  <c r="G49" i="64"/>
  <c r="G54" i="64" s="1"/>
  <c r="F49" i="64"/>
  <c r="F54" i="64" s="1"/>
  <c r="E49" i="64"/>
  <c r="E54" i="64" s="1"/>
  <c r="K48" i="64"/>
  <c r="K53" i="64" s="1"/>
  <c r="J48" i="64"/>
  <c r="J53" i="64" s="1"/>
  <c r="I48" i="64"/>
  <c r="I53" i="64" s="1"/>
  <c r="H48" i="64"/>
  <c r="H53" i="64" s="1"/>
  <c r="G48" i="64"/>
  <c r="G53" i="64" s="1"/>
  <c r="F48" i="64"/>
  <c r="F53" i="64" s="1"/>
  <c r="E48" i="64"/>
  <c r="E53" i="64" s="1"/>
  <c r="K46" i="64"/>
  <c r="J46" i="64"/>
  <c r="I46" i="64"/>
  <c r="H46" i="64"/>
  <c r="G46" i="64"/>
  <c r="F46" i="64"/>
  <c r="E46" i="64"/>
  <c r="K45" i="64"/>
  <c r="J45" i="64"/>
  <c r="I45" i="64"/>
  <c r="H45" i="64"/>
  <c r="G45" i="64"/>
  <c r="F45" i="64"/>
  <c r="E45" i="64"/>
  <c r="K44" i="64"/>
  <c r="J44" i="64"/>
  <c r="I44" i="64"/>
  <c r="H44" i="64"/>
  <c r="G44" i="64"/>
  <c r="F44" i="64"/>
  <c r="E44" i="64"/>
  <c r="K43" i="64"/>
  <c r="J43" i="64"/>
  <c r="I43" i="64"/>
  <c r="H43" i="64"/>
  <c r="G43" i="64"/>
  <c r="F43" i="64"/>
  <c r="E43" i="64"/>
  <c r="C171" i="61"/>
  <c r="C288" i="61" s="1"/>
  <c r="C279" i="61"/>
  <c r="C258" i="61"/>
  <c r="C240" i="61"/>
  <c r="C204" i="61"/>
  <c r="C183" i="61"/>
  <c r="E104" i="62"/>
  <c r="E204" i="61"/>
  <c r="D204" i="61"/>
  <c r="D104" i="62"/>
  <c r="K108" i="62"/>
  <c r="K107" i="62"/>
  <c r="J108" i="62"/>
  <c r="J107" i="62"/>
  <c r="J114" i="62" s="1"/>
  <c r="E108" i="62"/>
  <c r="E107" i="62"/>
  <c r="E114" i="62"/>
  <c r="D108" i="62"/>
  <c r="D107" i="62"/>
  <c r="K106" i="62"/>
  <c r="K112" i="62" s="1"/>
  <c r="J106" i="62"/>
  <c r="J113" i="62" s="1"/>
  <c r="E106" i="62"/>
  <c r="E113" i="62"/>
  <c r="D106" i="62"/>
  <c r="D113" i="62" s="1"/>
  <c r="K105" i="62"/>
  <c r="J105" i="62"/>
  <c r="E105" i="62"/>
  <c r="E112" i="62" s="1"/>
  <c r="D105" i="62"/>
  <c r="D111" i="62" s="1"/>
  <c r="K111" i="62"/>
  <c r="J111" i="62"/>
  <c r="K104" i="62"/>
  <c r="K110" i="62"/>
  <c r="J104" i="62"/>
  <c r="D110" i="62"/>
  <c r="C115" i="61"/>
  <c r="C100" i="61"/>
  <c r="C82" i="61"/>
  <c r="C65" i="61"/>
  <c r="C44" i="61"/>
  <c r="C19" i="61"/>
  <c r="K165" i="61"/>
  <c r="W186" i="61"/>
  <c r="Q184" i="61"/>
  <c r="K183" i="61"/>
  <c r="K286" i="61" s="1"/>
  <c r="K199" i="61"/>
  <c r="Q201" i="61"/>
  <c r="W201" i="61"/>
  <c r="K287" i="61"/>
  <c r="K290" i="61" s="1"/>
  <c r="J165" i="61"/>
  <c r="P165" i="61"/>
  <c r="V165" i="61"/>
  <c r="V186" i="61"/>
  <c r="P184" i="61"/>
  <c r="J183" i="61"/>
  <c r="J199" i="61"/>
  <c r="P201" i="61"/>
  <c r="V201" i="61"/>
  <c r="I165" i="61"/>
  <c r="O165" i="61"/>
  <c r="U165" i="61"/>
  <c r="U186" i="61"/>
  <c r="O184" i="61"/>
  <c r="I183" i="61"/>
  <c r="I199" i="61"/>
  <c r="O201" i="61"/>
  <c r="U201" i="61"/>
  <c r="E279" i="61"/>
  <c r="E258" i="61"/>
  <c r="E240" i="61"/>
  <c r="E183" i="61"/>
  <c r="E171" i="61"/>
  <c r="E288" i="61" s="1"/>
  <c r="D279" i="61"/>
  <c r="D287" i="61" s="1"/>
  <c r="D290" i="61" s="1"/>
  <c r="D258" i="61"/>
  <c r="D240" i="61"/>
  <c r="D183" i="61"/>
  <c r="D171" i="61"/>
  <c r="D288" i="61" s="1"/>
  <c r="K288" i="61"/>
  <c r="J288" i="61"/>
  <c r="I288" i="61"/>
  <c r="K24" i="61"/>
  <c r="K56" i="61"/>
  <c r="Q40" i="61"/>
  <c r="Q17" i="61"/>
  <c r="W37" i="61"/>
  <c r="J24" i="61"/>
  <c r="J56" i="61"/>
  <c r="P40" i="61"/>
  <c r="P17" i="61"/>
  <c r="V17" i="61"/>
  <c r="V37" i="61"/>
  <c r="V56" i="61"/>
  <c r="I24" i="61"/>
  <c r="I37" i="61"/>
  <c r="I56" i="61"/>
  <c r="O56" i="61"/>
  <c r="O40" i="61"/>
  <c r="O17" i="61"/>
  <c r="U17" i="61"/>
  <c r="U37" i="61"/>
  <c r="U56" i="61"/>
  <c r="E115" i="61"/>
  <c r="E121" i="61" s="1"/>
  <c r="E100" i="61"/>
  <c r="E82" i="61"/>
  <c r="E65" i="61"/>
  <c r="E44" i="61"/>
  <c r="E19" i="61"/>
  <c r="D115" i="61"/>
  <c r="D100" i="61"/>
  <c r="D82" i="61"/>
  <c r="D65" i="61"/>
  <c r="D44" i="61"/>
  <c r="D19" i="61"/>
  <c r="K123" i="61"/>
  <c r="J123" i="61"/>
  <c r="I123" i="61"/>
  <c r="E123" i="61"/>
  <c r="D123" i="61"/>
  <c r="C123" i="61"/>
  <c r="F81" i="60"/>
  <c r="C21" i="60"/>
  <c r="D21" i="60"/>
  <c r="E21" i="60"/>
  <c r="G21" i="60"/>
  <c r="H21" i="60"/>
  <c r="I21" i="60"/>
  <c r="K21" i="60"/>
  <c r="L21" i="60"/>
  <c r="M21" i="60"/>
  <c r="C14" i="60"/>
  <c r="D14" i="60"/>
  <c r="E14" i="60"/>
  <c r="G14" i="60"/>
  <c r="H14" i="60"/>
  <c r="I14" i="60"/>
  <c r="L66" i="60"/>
  <c r="R66" i="60"/>
  <c r="X66" i="60"/>
  <c r="X97" i="60"/>
  <c r="R95" i="60"/>
  <c r="L94" i="60"/>
  <c r="L110" i="60"/>
  <c r="R112" i="60"/>
  <c r="X112" i="60"/>
  <c r="K66" i="60"/>
  <c r="Q66" i="60"/>
  <c r="W66" i="60"/>
  <c r="W97" i="60"/>
  <c r="Q95" i="60"/>
  <c r="K94" i="60"/>
  <c r="K110" i="60"/>
  <c r="Q112" i="60"/>
  <c r="W112" i="60"/>
  <c r="J66" i="60"/>
  <c r="P66" i="60"/>
  <c r="V66" i="60"/>
  <c r="V97" i="60"/>
  <c r="P95" i="60"/>
  <c r="J94" i="60"/>
  <c r="J110" i="60"/>
  <c r="P112" i="60"/>
  <c r="V112" i="60"/>
  <c r="I66" i="60"/>
  <c r="O66" i="60"/>
  <c r="U66" i="60"/>
  <c r="I196" i="60" s="1"/>
  <c r="I199" i="60" s="1"/>
  <c r="U97" i="60"/>
  <c r="O95" i="60"/>
  <c r="I94" i="60"/>
  <c r="I110" i="60"/>
  <c r="O112" i="60"/>
  <c r="U112" i="60"/>
  <c r="F190" i="60"/>
  <c r="F169" i="60"/>
  <c r="F151" i="60"/>
  <c r="F115" i="60"/>
  <c r="F94" i="60"/>
  <c r="E190" i="60"/>
  <c r="E169" i="60"/>
  <c r="E151" i="60"/>
  <c r="E115" i="60"/>
  <c r="E94" i="60"/>
  <c r="E81" i="60"/>
  <c r="D190" i="60"/>
  <c r="D169" i="60"/>
  <c r="D151" i="60"/>
  <c r="D115" i="60"/>
  <c r="D94" i="60"/>
  <c r="D81" i="60"/>
  <c r="C190" i="60"/>
  <c r="C169" i="60"/>
  <c r="C151" i="60"/>
  <c r="C115" i="60"/>
  <c r="C94" i="60"/>
  <c r="C81" i="60"/>
  <c r="L197" i="60"/>
  <c r="K197" i="60"/>
  <c r="J197" i="60"/>
  <c r="I197" i="60"/>
  <c r="F197" i="60"/>
  <c r="E197" i="60"/>
  <c r="D197" i="60"/>
  <c r="C197" i="60"/>
  <c r="I195" i="60"/>
  <c r="C195" i="60"/>
  <c r="D29" i="60"/>
  <c r="C29" i="60"/>
  <c r="I75" i="59"/>
  <c r="I88" i="59"/>
  <c r="I108" i="59"/>
  <c r="O108" i="59"/>
  <c r="O91" i="59"/>
  <c r="O68" i="59"/>
  <c r="U68" i="59"/>
  <c r="U88" i="59"/>
  <c r="U108" i="59"/>
  <c r="C135" i="59"/>
  <c r="C14" i="59"/>
  <c r="D14" i="59"/>
  <c r="E14" i="59"/>
  <c r="G14" i="59"/>
  <c r="C28" i="59" s="1"/>
  <c r="C31" i="59" s="1"/>
  <c r="H14" i="59"/>
  <c r="I14" i="59"/>
  <c r="L75" i="59"/>
  <c r="L88" i="59"/>
  <c r="L108" i="59"/>
  <c r="R108" i="59"/>
  <c r="R91" i="59"/>
  <c r="R68" i="59"/>
  <c r="X68" i="59"/>
  <c r="X88" i="59"/>
  <c r="X108" i="59"/>
  <c r="K75" i="59"/>
  <c r="K88" i="59"/>
  <c r="K108" i="59"/>
  <c r="Q108" i="59"/>
  <c r="Q91" i="59"/>
  <c r="Q68" i="59"/>
  <c r="W68" i="59"/>
  <c r="W88" i="59"/>
  <c r="W108" i="59"/>
  <c r="J75" i="59"/>
  <c r="J88" i="59"/>
  <c r="J108" i="59"/>
  <c r="P108" i="59"/>
  <c r="P91" i="59"/>
  <c r="P68" i="59"/>
  <c r="V68" i="59"/>
  <c r="V88" i="59"/>
  <c r="V108" i="59"/>
  <c r="F169" i="59"/>
  <c r="F153" i="59"/>
  <c r="F135" i="59"/>
  <c r="F117" i="59"/>
  <c r="F95" i="59"/>
  <c r="F70" i="59"/>
  <c r="E169" i="59"/>
  <c r="E153" i="59"/>
  <c r="E135" i="59"/>
  <c r="E117" i="59"/>
  <c r="E95" i="59"/>
  <c r="E70" i="59"/>
  <c r="D169" i="59"/>
  <c r="D153" i="59"/>
  <c r="D135" i="59"/>
  <c r="D117" i="59"/>
  <c r="D95" i="59"/>
  <c r="D70" i="59"/>
  <c r="C169" i="59"/>
  <c r="C153" i="59"/>
  <c r="C117" i="59"/>
  <c r="C95" i="59"/>
  <c r="C175" i="59" s="1"/>
  <c r="C178" i="59" s="1"/>
  <c r="C70" i="59"/>
  <c r="M176" i="59"/>
  <c r="L176" i="59"/>
  <c r="K176" i="59"/>
  <c r="J176" i="59"/>
  <c r="F176" i="59"/>
  <c r="E176" i="59"/>
  <c r="D176" i="59"/>
  <c r="C176" i="59"/>
  <c r="C21" i="59"/>
  <c r="D21" i="59"/>
  <c r="E21" i="59"/>
  <c r="G21" i="59"/>
  <c r="H21" i="59"/>
  <c r="I21" i="59"/>
  <c r="K21" i="59"/>
  <c r="L21" i="59"/>
  <c r="M21" i="59"/>
  <c r="D29" i="59"/>
  <c r="C29" i="59"/>
  <c r="E74" i="57"/>
  <c r="E75" i="57" s="1"/>
  <c r="D74" i="57"/>
  <c r="D75" i="57"/>
  <c r="C74" i="57"/>
  <c r="C75" i="57" s="1"/>
  <c r="E73" i="57"/>
  <c r="D73" i="57"/>
  <c r="C73" i="57"/>
  <c r="E62" i="57"/>
  <c r="E63" i="57"/>
  <c r="D62" i="57"/>
  <c r="D63" i="57" s="1"/>
  <c r="C62" i="57"/>
  <c r="C63" i="57" s="1"/>
  <c r="E61" i="57"/>
  <c r="D61" i="57"/>
  <c r="C61" i="57"/>
  <c r="E50" i="57"/>
  <c r="E51" i="57" s="1"/>
  <c r="D50" i="57"/>
  <c r="D51" i="57" s="1"/>
  <c r="C50" i="57"/>
  <c r="C51" i="57" s="1"/>
  <c r="E49" i="57"/>
  <c r="D49" i="57"/>
  <c r="C49" i="57"/>
  <c r="E38" i="57"/>
  <c r="E39" i="57" s="1"/>
  <c r="D38" i="57"/>
  <c r="D39" i="57"/>
  <c r="C38" i="57"/>
  <c r="C39" i="57" s="1"/>
  <c r="E37" i="57"/>
  <c r="D37" i="57"/>
  <c r="C37" i="57"/>
  <c r="E26" i="57"/>
  <c r="E27" i="57" s="1"/>
  <c r="D26" i="57"/>
  <c r="D27" i="57" s="1"/>
  <c r="C26" i="57"/>
  <c r="C27" i="57" s="1"/>
  <c r="E25" i="57"/>
  <c r="D25" i="57"/>
  <c r="C25" i="57"/>
  <c r="E14" i="57"/>
  <c r="E15" i="57" s="1"/>
  <c r="D14" i="57"/>
  <c r="D15" i="57" s="1"/>
  <c r="C14" i="57"/>
  <c r="C15" i="57" s="1"/>
  <c r="E13" i="57"/>
  <c r="D13" i="57"/>
  <c r="C13" i="57"/>
  <c r="E74" i="56"/>
  <c r="E75" i="56" s="1"/>
  <c r="D74" i="56"/>
  <c r="D75" i="56" s="1"/>
  <c r="C74" i="56"/>
  <c r="C75" i="56" s="1"/>
  <c r="E73" i="56"/>
  <c r="D73" i="56"/>
  <c r="C73" i="56"/>
  <c r="E62" i="56"/>
  <c r="E63" i="56" s="1"/>
  <c r="D62" i="56"/>
  <c r="D63" i="56"/>
  <c r="C62" i="56"/>
  <c r="C63" i="56" s="1"/>
  <c r="E61" i="56"/>
  <c r="D61" i="56"/>
  <c r="C61" i="56"/>
  <c r="E50" i="56"/>
  <c r="E51" i="56" s="1"/>
  <c r="D50" i="56"/>
  <c r="D51" i="56"/>
  <c r="C50" i="56"/>
  <c r="C51" i="56" s="1"/>
  <c r="E49" i="56"/>
  <c r="D49" i="56"/>
  <c r="C49" i="56"/>
  <c r="E38" i="56"/>
  <c r="E39" i="56" s="1"/>
  <c r="D38" i="56"/>
  <c r="D39" i="56"/>
  <c r="C38" i="56"/>
  <c r="C39" i="56" s="1"/>
  <c r="E37" i="56"/>
  <c r="D37" i="56"/>
  <c r="C37" i="56"/>
  <c r="E26" i="56"/>
  <c r="E27" i="56" s="1"/>
  <c r="D26" i="56"/>
  <c r="D27" i="56" s="1"/>
  <c r="C26" i="56"/>
  <c r="C27" i="56" s="1"/>
  <c r="E25" i="56"/>
  <c r="D25" i="56"/>
  <c r="C25" i="56"/>
  <c r="E14" i="56"/>
  <c r="E15" i="56" s="1"/>
  <c r="D14" i="56"/>
  <c r="D15" i="56"/>
  <c r="C14" i="56"/>
  <c r="C15" i="56" s="1"/>
  <c r="E13" i="56"/>
  <c r="D13" i="56"/>
  <c r="C13" i="56"/>
  <c r="AB31" i="55"/>
  <c r="S31" i="55" s="1"/>
  <c r="AB32" i="55"/>
  <c r="AB33" i="55"/>
  <c r="S33" i="55" s="1"/>
  <c r="AB34" i="55"/>
  <c r="U34" i="55" s="1"/>
  <c r="S34" i="55"/>
  <c r="AB40" i="55"/>
  <c r="U40" i="55" s="1"/>
  <c r="AB41" i="55"/>
  <c r="AB42" i="55"/>
  <c r="U42" i="55"/>
  <c r="AB43" i="55"/>
  <c r="T40" i="55"/>
  <c r="T42" i="55"/>
  <c r="T43" i="55"/>
  <c r="S40" i="55"/>
  <c r="S42" i="55"/>
  <c r="L40" i="55"/>
  <c r="E40" i="55" s="1"/>
  <c r="L41" i="55"/>
  <c r="L42" i="55"/>
  <c r="E42" i="55" s="1"/>
  <c r="L43" i="55"/>
  <c r="D43" i="55" s="1"/>
  <c r="E43" i="55"/>
  <c r="D40" i="55"/>
  <c r="D42" i="55"/>
  <c r="C40" i="55"/>
  <c r="C42" i="55"/>
  <c r="U31" i="55"/>
  <c r="U32" i="55"/>
  <c r="T31" i="55"/>
  <c r="T34" i="55"/>
  <c r="L31" i="55"/>
  <c r="L32" i="55"/>
  <c r="L33" i="55"/>
  <c r="D33" i="55" s="1"/>
  <c r="L34" i="55"/>
  <c r="D31" i="55"/>
  <c r="D34" i="55"/>
  <c r="C31" i="55"/>
  <c r="C33" i="55"/>
  <c r="AB22" i="55"/>
  <c r="U22" i="55" s="1"/>
  <c r="AB23" i="55"/>
  <c r="S23" i="55" s="1"/>
  <c r="AB24" i="55"/>
  <c r="AB25" i="55"/>
  <c r="T25" i="55" s="1"/>
  <c r="U25" i="55"/>
  <c r="T22" i="55"/>
  <c r="S22" i="55"/>
  <c r="S25" i="55"/>
  <c r="L22" i="55"/>
  <c r="E22" i="55"/>
  <c r="L23" i="55"/>
  <c r="L24" i="55"/>
  <c r="L25" i="55"/>
  <c r="E25" i="55" s="1"/>
  <c r="D22" i="55"/>
  <c r="C54" i="55"/>
  <c r="C60" i="55" s="1"/>
  <c r="AB9" i="55"/>
  <c r="U9" i="55" s="1"/>
  <c r="AB10" i="55"/>
  <c r="AB11" i="55"/>
  <c r="U11" i="55" s="1"/>
  <c r="AB12" i="55"/>
  <c r="T12" i="55" s="1"/>
  <c r="U12" i="55"/>
  <c r="AB13" i="55"/>
  <c r="U13" i="55" s="1"/>
  <c r="AB14" i="55"/>
  <c r="U14" i="55" s="1"/>
  <c r="AB15" i="55"/>
  <c r="AB16" i="55"/>
  <c r="U16" i="55" s="1"/>
  <c r="T9" i="55"/>
  <c r="T11" i="55"/>
  <c r="T13" i="55"/>
  <c r="T14" i="55"/>
  <c r="T16" i="55"/>
  <c r="S12" i="55"/>
  <c r="S13" i="55"/>
  <c r="S14" i="55"/>
  <c r="S16" i="55"/>
  <c r="L9" i="55"/>
  <c r="D9" i="55" s="1"/>
  <c r="E9" i="55"/>
  <c r="L10" i="55"/>
  <c r="E10" i="55" s="1"/>
  <c r="L11" i="55"/>
  <c r="C11" i="55" s="1"/>
  <c r="L12" i="55"/>
  <c r="E12" i="55" s="1"/>
  <c r="L13" i="55"/>
  <c r="D13" i="55" s="1"/>
  <c r="L14" i="55"/>
  <c r="E14" i="55" s="1"/>
  <c r="L15" i="55"/>
  <c r="C15" i="55" s="1"/>
  <c r="L16" i="55"/>
  <c r="E16" i="55" s="1"/>
  <c r="D10" i="55"/>
  <c r="D11" i="55"/>
  <c r="D12" i="55"/>
  <c r="D14" i="55"/>
  <c r="D15" i="55"/>
  <c r="D16" i="55"/>
  <c r="C9" i="55"/>
  <c r="C10" i="55"/>
  <c r="C12" i="55"/>
  <c r="C13" i="55"/>
  <c r="C14" i="55"/>
  <c r="C16" i="55"/>
  <c r="K52" i="55"/>
  <c r="J52" i="55"/>
  <c r="I52" i="55"/>
  <c r="K51" i="55"/>
  <c r="J51" i="55"/>
  <c r="I51" i="55"/>
  <c r="K50" i="55"/>
  <c r="J50" i="55"/>
  <c r="I50" i="55"/>
  <c r="L49" i="55"/>
  <c r="K49" i="55"/>
  <c r="J49" i="55"/>
  <c r="I49" i="55"/>
  <c r="C48" i="55"/>
  <c r="D119" i="54"/>
  <c r="D127" i="54"/>
  <c r="D135" i="54"/>
  <c r="D198" i="54"/>
  <c r="D230" i="54" s="1"/>
  <c r="C119" i="54"/>
  <c r="C127" i="54"/>
  <c r="C135" i="54"/>
  <c r="C167" i="54" s="1"/>
  <c r="D118" i="54"/>
  <c r="D126" i="54"/>
  <c r="D134" i="54"/>
  <c r="C118" i="54"/>
  <c r="C126" i="54"/>
  <c r="C134" i="54"/>
  <c r="D117" i="54"/>
  <c r="D125" i="54"/>
  <c r="D133" i="54"/>
  <c r="D196" i="54" s="1"/>
  <c r="D228" i="54" s="1"/>
  <c r="C117" i="54"/>
  <c r="C125" i="54"/>
  <c r="C133" i="54"/>
  <c r="D116" i="54"/>
  <c r="D124" i="54"/>
  <c r="D132" i="54"/>
  <c r="C116" i="54"/>
  <c r="C124" i="54"/>
  <c r="C132" i="54"/>
  <c r="D95" i="54"/>
  <c r="D103" i="54"/>
  <c r="D111" i="54"/>
  <c r="D190" i="54"/>
  <c r="D222" i="54" s="1"/>
  <c r="C95" i="54"/>
  <c r="C103" i="54"/>
  <c r="C111" i="54"/>
  <c r="C159" i="54" s="1"/>
  <c r="D94" i="54"/>
  <c r="D102" i="54"/>
  <c r="D110" i="54"/>
  <c r="C94" i="54"/>
  <c r="C102" i="54"/>
  <c r="C110" i="54"/>
  <c r="D93" i="54"/>
  <c r="D101" i="54"/>
  <c r="D188" i="54" s="1"/>
  <c r="D220" i="54" s="1"/>
  <c r="D109" i="54"/>
  <c r="C93" i="54"/>
  <c r="C101" i="54"/>
  <c r="C109" i="54"/>
  <c r="D92" i="54"/>
  <c r="D100" i="54"/>
  <c r="D108" i="54"/>
  <c r="C92" i="54"/>
  <c r="C100" i="54"/>
  <c r="C108" i="54"/>
  <c r="D71" i="54"/>
  <c r="D79" i="54"/>
  <c r="D182" i="54" s="1"/>
  <c r="D214" i="54" s="1"/>
  <c r="D87" i="54"/>
  <c r="C71" i="54"/>
  <c r="C79" i="54"/>
  <c r="C87" i="54"/>
  <c r="C151" i="54" s="1"/>
  <c r="D70" i="54"/>
  <c r="D78" i="54"/>
  <c r="D86" i="54"/>
  <c r="C70" i="54"/>
  <c r="C78" i="54"/>
  <c r="C86" i="54"/>
  <c r="D69" i="54"/>
  <c r="D77" i="54"/>
  <c r="D85" i="54"/>
  <c r="D180" i="54"/>
  <c r="D212" i="54" s="1"/>
  <c r="C69" i="54"/>
  <c r="C180" i="54" s="1"/>
  <c r="C212" i="54" s="1"/>
  <c r="C77" i="54"/>
  <c r="C85" i="54"/>
  <c r="D68" i="54"/>
  <c r="D76" i="54"/>
  <c r="D84" i="54"/>
  <c r="C68" i="54"/>
  <c r="C76" i="54"/>
  <c r="C84" i="54"/>
  <c r="D175" i="54"/>
  <c r="D206" i="54" s="1"/>
  <c r="C175" i="54"/>
  <c r="C206" i="54" s="1"/>
  <c r="D14" i="54"/>
  <c r="D22" i="54"/>
  <c r="D30" i="54"/>
  <c r="D38" i="54"/>
  <c r="D46" i="54"/>
  <c r="D54" i="54"/>
  <c r="D62" i="54"/>
  <c r="D174" i="54"/>
  <c r="D205" i="54" s="1"/>
  <c r="C14" i="54"/>
  <c r="C22" i="54"/>
  <c r="C30" i="54"/>
  <c r="C38" i="54"/>
  <c r="C46" i="54"/>
  <c r="C54" i="54"/>
  <c r="C62" i="54"/>
  <c r="D13" i="54"/>
  <c r="D21" i="54"/>
  <c r="D29" i="54"/>
  <c r="D37" i="54"/>
  <c r="D45" i="54"/>
  <c r="D53" i="54"/>
  <c r="D61" i="54"/>
  <c r="C13" i="54"/>
  <c r="C21" i="54"/>
  <c r="C29" i="54"/>
  <c r="C37" i="54"/>
  <c r="C45" i="54"/>
  <c r="C53" i="54"/>
  <c r="C61" i="54"/>
  <c r="D12" i="54"/>
  <c r="D20" i="54"/>
  <c r="D28" i="54"/>
  <c r="D36" i="54"/>
  <c r="D44" i="54"/>
  <c r="D52" i="54"/>
  <c r="D60" i="54"/>
  <c r="D172" i="54"/>
  <c r="D203" i="54" s="1"/>
  <c r="C12" i="54"/>
  <c r="C20" i="54"/>
  <c r="C28" i="54"/>
  <c r="C36" i="54"/>
  <c r="C44" i="54"/>
  <c r="C52" i="54"/>
  <c r="C60" i="54"/>
  <c r="D167" i="54"/>
  <c r="D165" i="54"/>
  <c r="C165" i="54"/>
  <c r="D159" i="54"/>
  <c r="D157" i="54"/>
  <c r="C157" i="54"/>
  <c r="D151" i="54"/>
  <c r="D149" i="54"/>
  <c r="C149" i="54"/>
  <c r="M116" i="54"/>
  <c r="M117" i="54"/>
  <c r="M118" i="54"/>
  <c r="M119" i="54"/>
  <c r="M124" i="54"/>
  <c r="M125" i="54"/>
  <c r="M126" i="54"/>
  <c r="M127" i="54"/>
  <c r="M132" i="54"/>
  <c r="M133" i="54"/>
  <c r="M134" i="54"/>
  <c r="M135" i="54"/>
  <c r="D143" i="54"/>
  <c r="C143" i="54"/>
  <c r="M92" i="54"/>
  <c r="M93" i="54"/>
  <c r="M94" i="54"/>
  <c r="M95" i="54"/>
  <c r="M100" i="54"/>
  <c r="M101" i="54"/>
  <c r="M102" i="54"/>
  <c r="M103" i="54"/>
  <c r="M108" i="54"/>
  <c r="M109" i="54"/>
  <c r="M110" i="54"/>
  <c r="M111" i="54"/>
  <c r="M68" i="54"/>
  <c r="M69" i="54"/>
  <c r="M70" i="54"/>
  <c r="M71" i="54"/>
  <c r="M76" i="54"/>
  <c r="M77" i="54"/>
  <c r="M78" i="54"/>
  <c r="M79" i="54"/>
  <c r="M84" i="54"/>
  <c r="M85" i="54"/>
  <c r="M86" i="54"/>
  <c r="M87" i="54"/>
  <c r="M12" i="54"/>
  <c r="M13" i="54"/>
  <c r="J140" i="54" s="1"/>
  <c r="M14" i="54"/>
  <c r="M15" i="54"/>
  <c r="M20" i="54"/>
  <c r="M21" i="54"/>
  <c r="M22" i="54"/>
  <c r="M23" i="54"/>
  <c r="M28" i="54"/>
  <c r="M29" i="54"/>
  <c r="M30" i="54"/>
  <c r="M31" i="54"/>
  <c r="M36" i="54"/>
  <c r="M37" i="54"/>
  <c r="M38" i="54"/>
  <c r="M39" i="54"/>
  <c r="M44" i="54"/>
  <c r="M45" i="54"/>
  <c r="M46" i="54"/>
  <c r="M47" i="54"/>
  <c r="M52" i="54"/>
  <c r="M53" i="54"/>
  <c r="M54" i="54"/>
  <c r="M55" i="54"/>
  <c r="M60" i="54"/>
  <c r="M61" i="54"/>
  <c r="M62" i="54"/>
  <c r="M63" i="54"/>
  <c r="D87" i="53"/>
  <c r="D95" i="53"/>
  <c r="D103" i="53"/>
  <c r="C87" i="53"/>
  <c r="C95" i="53"/>
  <c r="C103" i="53"/>
  <c r="D86" i="53"/>
  <c r="D94" i="53"/>
  <c r="D102" i="53"/>
  <c r="D164" i="53"/>
  <c r="D196" i="53" s="1"/>
  <c r="C86" i="53"/>
  <c r="C94" i="53"/>
  <c r="C102" i="53"/>
  <c r="C133" i="53" s="1"/>
  <c r="D85" i="53"/>
  <c r="D93" i="53"/>
  <c r="D101" i="53"/>
  <c r="C85" i="53"/>
  <c r="C93" i="53"/>
  <c r="C101" i="53"/>
  <c r="D84" i="53"/>
  <c r="D92" i="53"/>
  <c r="D162" i="53" s="1"/>
  <c r="D194" i="53" s="1"/>
  <c r="D100" i="53"/>
  <c r="C84" i="53"/>
  <c r="C92" i="53"/>
  <c r="C100" i="53"/>
  <c r="D63" i="53"/>
  <c r="D71" i="53"/>
  <c r="D157" i="53" s="1"/>
  <c r="D189" i="53" s="1"/>
  <c r="D79" i="53"/>
  <c r="C63" i="53"/>
  <c r="C71" i="53"/>
  <c r="C79" i="53"/>
  <c r="D62" i="53"/>
  <c r="D70" i="53"/>
  <c r="D78" i="53"/>
  <c r="D156" i="53"/>
  <c r="D188" i="53" s="1"/>
  <c r="C62" i="53"/>
  <c r="C70" i="53"/>
  <c r="C78" i="53"/>
  <c r="C125" i="53" s="1"/>
  <c r="D61" i="53"/>
  <c r="D69" i="53"/>
  <c r="D77" i="53"/>
  <c r="C61" i="53"/>
  <c r="C69" i="53"/>
  <c r="C77" i="53"/>
  <c r="D60" i="53"/>
  <c r="D68" i="53"/>
  <c r="D76" i="53"/>
  <c r="D154" i="53" s="1"/>
  <c r="D186" i="53" s="1"/>
  <c r="C60" i="53"/>
  <c r="C68" i="53"/>
  <c r="C76" i="53"/>
  <c r="D39" i="53"/>
  <c r="D47" i="53"/>
  <c r="D149" i="53" s="1"/>
  <c r="D181" i="53" s="1"/>
  <c r="D55" i="53"/>
  <c r="C39" i="53"/>
  <c r="C47" i="53"/>
  <c r="C55" i="53"/>
  <c r="D38" i="53"/>
  <c r="D46" i="53"/>
  <c r="D148" i="53" s="1"/>
  <c r="D180" i="53" s="1"/>
  <c r="D54" i="53"/>
  <c r="C38" i="53"/>
  <c r="C46" i="53"/>
  <c r="C54" i="53"/>
  <c r="C117" i="53" s="1"/>
  <c r="D37" i="53"/>
  <c r="D45" i="53"/>
  <c r="D147" i="53" s="1"/>
  <c r="D179" i="53" s="1"/>
  <c r="D53" i="53"/>
  <c r="C37" i="53"/>
  <c r="C45" i="53"/>
  <c r="C53" i="53"/>
  <c r="D36" i="53"/>
  <c r="D44" i="53"/>
  <c r="D146" i="53" s="1"/>
  <c r="D178" i="53" s="1"/>
  <c r="D52" i="53"/>
  <c r="C36" i="53"/>
  <c r="C44" i="53"/>
  <c r="C52" i="53"/>
  <c r="C115" i="53" s="1"/>
  <c r="D142" i="53"/>
  <c r="D173" i="53"/>
  <c r="C142" i="53"/>
  <c r="C173" i="53"/>
  <c r="D14" i="53"/>
  <c r="D22" i="53"/>
  <c r="D141" i="53" s="1"/>
  <c r="D172" i="53" s="1"/>
  <c r="D30" i="53"/>
  <c r="C14" i="53"/>
  <c r="C22" i="53"/>
  <c r="C30" i="53"/>
  <c r="D13" i="53"/>
  <c r="D21" i="53"/>
  <c r="D140" i="53" s="1"/>
  <c r="D171" i="53" s="1"/>
  <c r="D29" i="53"/>
  <c r="C13" i="53"/>
  <c r="C21" i="53"/>
  <c r="C29" i="53"/>
  <c r="C108" i="53" s="1"/>
  <c r="D12" i="53"/>
  <c r="D20" i="53"/>
  <c r="D28" i="53"/>
  <c r="C12" i="53"/>
  <c r="C139" i="53" s="1"/>
  <c r="C170" i="53" s="1"/>
  <c r="C20" i="53"/>
  <c r="C28" i="53"/>
  <c r="D134" i="53"/>
  <c r="D133" i="53"/>
  <c r="D132" i="53"/>
  <c r="D131" i="53"/>
  <c r="C131" i="53"/>
  <c r="D126" i="53"/>
  <c r="D125" i="53"/>
  <c r="D124" i="53"/>
  <c r="D123" i="53"/>
  <c r="C123" i="53"/>
  <c r="D116" i="53"/>
  <c r="M84" i="53"/>
  <c r="M85" i="53"/>
  <c r="M86" i="53"/>
  <c r="J110" i="53" s="1"/>
  <c r="M87" i="53"/>
  <c r="M92" i="53"/>
  <c r="M93" i="53"/>
  <c r="M94" i="53"/>
  <c r="M95" i="53"/>
  <c r="M100" i="53"/>
  <c r="M101" i="53"/>
  <c r="M102" i="53"/>
  <c r="M103" i="53"/>
  <c r="D110" i="53"/>
  <c r="C110" i="53"/>
  <c r="M60" i="53"/>
  <c r="M61" i="53"/>
  <c r="M62" i="53"/>
  <c r="M63" i="53"/>
  <c r="M68" i="53"/>
  <c r="M69" i="53"/>
  <c r="M70" i="53"/>
  <c r="M71" i="53"/>
  <c r="M76" i="53"/>
  <c r="M77" i="53"/>
  <c r="M78" i="53"/>
  <c r="M79" i="53"/>
  <c r="D109" i="53"/>
  <c r="M36" i="53"/>
  <c r="M37" i="53"/>
  <c r="M38" i="53"/>
  <c r="M39" i="53"/>
  <c r="M44" i="53"/>
  <c r="M45" i="53"/>
  <c r="M46" i="53"/>
  <c r="M47" i="53"/>
  <c r="M52" i="53"/>
  <c r="M53" i="53"/>
  <c r="M54" i="53"/>
  <c r="M55" i="53"/>
  <c r="D108" i="53"/>
  <c r="M12" i="53"/>
  <c r="M13" i="53"/>
  <c r="M14" i="53"/>
  <c r="M15" i="53"/>
  <c r="M20" i="53"/>
  <c r="M21" i="53"/>
  <c r="M22" i="53"/>
  <c r="M23" i="53"/>
  <c r="M28" i="53"/>
  <c r="M29" i="53"/>
  <c r="M30" i="53"/>
  <c r="M31" i="53"/>
  <c r="R44" i="52"/>
  <c r="R45" i="52"/>
  <c r="R46" i="52"/>
  <c r="R47" i="52"/>
  <c r="R48" i="52"/>
  <c r="Q44" i="52"/>
  <c r="Q60" i="52" s="1"/>
  <c r="Q66" i="52" s="1"/>
  <c r="Q45" i="52"/>
  <c r="Q46" i="52"/>
  <c r="Q47" i="52"/>
  <c r="Q48" i="52"/>
  <c r="D44" i="52"/>
  <c r="D45" i="52"/>
  <c r="D46" i="52"/>
  <c r="D47" i="52"/>
  <c r="D48" i="52"/>
  <c r="C44" i="52"/>
  <c r="C45" i="52"/>
  <c r="C46" i="52"/>
  <c r="C47" i="52"/>
  <c r="C48" i="52"/>
  <c r="R35" i="52"/>
  <c r="R36" i="52"/>
  <c r="R37" i="52"/>
  <c r="R38" i="52"/>
  <c r="R39" i="52"/>
  <c r="Q35" i="52"/>
  <c r="Q36" i="52"/>
  <c r="Q37" i="52"/>
  <c r="Q38" i="52"/>
  <c r="Q59" i="52" s="1"/>
  <c r="Q65" i="52" s="1"/>
  <c r="Q39" i="52"/>
  <c r="D35" i="52"/>
  <c r="D36" i="52"/>
  <c r="D37" i="52"/>
  <c r="D38" i="52"/>
  <c r="D39" i="52"/>
  <c r="C35" i="52"/>
  <c r="C36" i="52"/>
  <c r="C37" i="52"/>
  <c r="C38" i="52"/>
  <c r="C39" i="52"/>
  <c r="R24" i="52"/>
  <c r="R25" i="52"/>
  <c r="R26" i="52"/>
  <c r="R27" i="52"/>
  <c r="R28" i="52"/>
  <c r="R29" i="52"/>
  <c r="R30" i="52"/>
  <c r="Q24" i="52"/>
  <c r="Q25" i="52"/>
  <c r="Q26" i="52"/>
  <c r="Q27" i="52"/>
  <c r="Q28" i="52"/>
  <c r="Q58" i="52" s="1"/>
  <c r="Q64" i="52" s="1"/>
  <c r="Q29" i="52"/>
  <c r="Q30" i="52"/>
  <c r="D24" i="52"/>
  <c r="D25" i="52"/>
  <c r="D26" i="52"/>
  <c r="D27" i="52"/>
  <c r="D28" i="52"/>
  <c r="D29" i="52"/>
  <c r="D30" i="52"/>
  <c r="C24" i="52"/>
  <c r="C25" i="52"/>
  <c r="C26" i="52"/>
  <c r="C27" i="52"/>
  <c r="C28" i="52"/>
  <c r="C29" i="52"/>
  <c r="C30" i="52"/>
  <c r="R13" i="52"/>
  <c r="R14" i="52"/>
  <c r="R15" i="52"/>
  <c r="R16" i="52"/>
  <c r="R17" i="52"/>
  <c r="R18" i="52"/>
  <c r="R19" i="52"/>
  <c r="Q13" i="52"/>
  <c r="Q14" i="52"/>
  <c r="Q15" i="52"/>
  <c r="Q16" i="52"/>
  <c r="Q17" i="52"/>
  <c r="Q18" i="52"/>
  <c r="Q57" i="52" s="1"/>
  <c r="Q63" i="52" s="1"/>
  <c r="Q19" i="52"/>
  <c r="D13" i="52"/>
  <c r="D14" i="52"/>
  <c r="D15" i="52"/>
  <c r="D16" i="52"/>
  <c r="D17" i="52"/>
  <c r="D18" i="52"/>
  <c r="D19" i="52"/>
  <c r="C13" i="52"/>
  <c r="C14" i="52"/>
  <c r="C15" i="52"/>
  <c r="C16" i="52"/>
  <c r="C17" i="52"/>
  <c r="C18" i="52"/>
  <c r="C19" i="52"/>
  <c r="Y57" i="52"/>
  <c r="X57" i="52"/>
  <c r="W57" i="52"/>
  <c r="K57" i="52"/>
  <c r="J57" i="52"/>
  <c r="I57" i="52"/>
  <c r="Y56" i="52"/>
  <c r="X56" i="52"/>
  <c r="W56" i="52"/>
  <c r="K56" i="52"/>
  <c r="J56" i="52"/>
  <c r="I56" i="52"/>
  <c r="Y55" i="52"/>
  <c r="X55" i="52"/>
  <c r="W55" i="52"/>
  <c r="K55" i="52"/>
  <c r="J55" i="52"/>
  <c r="I55" i="52"/>
  <c r="Y54" i="52"/>
  <c r="X54" i="52"/>
  <c r="W54" i="52"/>
  <c r="K54" i="52"/>
  <c r="J54" i="52"/>
  <c r="I54" i="52"/>
  <c r="R53" i="52"/>
  <c r="R52" i="52"/>
  <c r="R51" i="52"/>
  <c r="AK36" i="51"/>
  <c r="AK37" i="51"/>
  <c r="AB37" i="51" s="1"/>
  <c r="AK38" i="51"/>
  <c r="Z38" i="51" s="1"/>
  <c r="AB36" i="51"/>
  <c r="AA37" i="51"/>
  <c r="Z37" i="51"/>
  <c r="O36" i="51"/>
  <c r="D36" i="51" s="1"/>
  <c r="O37" i="51"/>
  <c r="G37" i="51" s="1"/>
  <c r="O38" i="51"/>
  <c r="F38" i="51" s="1"/>
  <c r="F36" i="51"/>
  <c r="F37" i="51"/>
  <c r="E36" i="51"/>
  <c r="E37" i="51"/>
  <c r="D37" i="51"/>
  <c r="AK29" i="51"/>
  <c r="AC29" i="51"/>
  <c r="AK30" i="51"/>
  <c r="AK31" i="51"/>
  <c r="AA31" i="51" s="1"/>
  <c r="AB29" i="51"/>
  <c r="AA29" i="51"/>
  <c r="Z29" i="51"/>
  <c r="O29" i="51"/>
  <c r="G29" i="51"/>
  <c r="O30" i="51"/>
  <c r="F30" i="51" s="1"/>
  <c r="O31" i="51"/>
  <c r="G31" i="51"/>
  <c r="F29" i="51"/>
  <c r="F49" i="51" s="1"/>
  <c r="F55" i="51" s="1"/>
  <c r="F31" i="51"/>
  <c r="E29" i="51"/>
  <c r="E49" i="51" s="1"/>
  <c r="E55" i="51" s="1"/>
  <c r="E30" i="51"/>
  <c r="E31" i="51"/>
  <c r="D29" i="51"/>
  <c r="D30" i="51"/>
  <c r="D31" i="51"/>
  <c r="AK22" i="51"/>
  <c r="AK23" i="51"/>
  <c r="AB23" i="51" s="1"/>
  <c r="AC23" i="51"/>
  <c r="AK24" i="51"/>
  <c r="AB22" i="51"/>
  <c r="AA23" i="51"/>
  <c r="Z23" i="51"/>
  <c r="O22" i="51"/>
  <c r="D22" i="51" s="1"/>
  <c r="O23" i="51"/>
  <c r="G23" i="51"/>
  <c r="O24" i="51"/>
  <c r="F24" i="51" s="1"/>
  <c r="F22" i="51"/>
  <c r="F23" i="51"/>
  <c r="F42" i="51" s="1"/>
  <c r="E22" i="51"/>
  <c r="E23" i="51"/>
  <c r="D23" i="51"/>
  <c r="D24" i="51"/>
  <c r="D48" i="51" s="1"/>
  <c r="D54" i="51" s="1"/>
  <c r="AK12" i="51"/>
  <c r="AC12" i="51" s="1"/>
  <c r="AK13" i="51"/>
  <c r="AK14" i="51"/>
  <c r="AC14" i="51" s="1"/>
  <c r="AK15" i="51"/>
  <c r="AK16" i="51"/>
  <c r="Z16" i="51" s="1"/>
  <c r="AK17" i="51"/>
  <c r="AB12" i="51"/>
  <c r="AB14" i="51"/>
  <c r="AA12" i="51"/>
  <c r="AA14" i="51"/>
  <c r="AA16" i="51"/>
  <c r="Z12" i="51"/>
  <c r="Z14" i="51"/>
  <c r="O12" i="51"/>
  <c r="E12" i="51" s="1"/>
  <c r="O13" i="51"/>
  <c r="G13" i="51" s="1"/>
  <c r="O14" i="51"/>
  <c r="O15" i="51"/>
  <c r="G15" i="51" s="1"/>
  <c r="O16" i="51"/>
  <c r="O17" i="51"/>
  <c r="G17" i="51" s="1"/>
  <c r="F14" i="51"/>
  <c r="D13" i="51"/>
  <c r="D14" i="51"/>
  <c r="D17" i="51"/>
  <c r="AJ47" i="51"/>
  <c r="AI47" i="51"/>
  <c r="AH47" i="51"/>
  <c r="AG47" i="51"/>
  <c r="O47" i="51"/>
  <c r="N47" i="51"/>
  <c r="M47" i="51"/>
  <c r="L47" i="51"/>
  <c r="K47" i="51"/>
  <c r="E15" i="51"/>
  <c r="E16" i="51"/>
  <c r="AJ46" i="51"/>
  <c r="AI46" i="51"/>
  <c r="AH46" i="51"/>
  <c r="AG46" i="51"/>
  <c r="O46" i="51"/>
  <c r="N46" i="51"/>
  <c r="M46" i="51"/>
  <c r="L46" i="51"/>
  <c r="K46" i="51"/>
  <c r="AJ45" i="51"/>
  <c r="AI45" i="51"/>
  <c r="AH45" i="51"/>
  <c r="AG45" i="51"/>
  <c r="O45" i="51"/>
  <c r="N45" i="51"/>
  <c r="M45" i="51"/>
  <c r="L45" i="51"/>
  <c r="K45" i="51"/>
  <c r="AJ44" i="51"/>
  <c r="AI44" i="51"/>
  <c r="AH44" i="51"/>
  <c r="AG44" i="51"/>
  <c r="O44" i="51"/>
  <c r="N44" i="51"/>
  <c r="M44" i="51"/>
  <c r="L44" i="51"/>
  <c r="K44" i="51"/>
  <c r="D43" i="51"/>
  <c r="D42" i="51"/>
  <c r="E45" i="50"/>
  <c r="E46" i="50"/>
  <c r="E47" i="50"/>
  <c r="E48" i="50"/>
  <c r="E61" i="50" s="1"/>
  <c r="E67" i="50" s="1"/>
  <c r="E49" i="50"/>
  <c r="D45" i="50"/>
  <c r="D46" i="50"/>
  <c r="D47" i="50"/>
  <c r="D48" i="50"/>
  <c r="D49" i="50"/>
  <c r="C45" i="50"/>
  <c r="C46" i="50"/>
  <c r="C47" i="50"/>
  <c r="C48" i="50"/>
  <c r="C49" i="50"/>
  <c r="C61" i="50"/>
  <c r="C67" i="50" s="1"/>
  <c r="E35" i="50"/>
  <c r="E36" i="50"/>
  <c r="E37" i="50"/>
  <c r="E38" i="50"/>
  <c r="E39" i="50"/>
  <c r="D35" i="50"/>
  <c r="D36" i="50"/>
  <c r="D37" i="50"/>
  <c r="D38" i="50"/>
  <c r="D39" i="50"/>
  <c r="I35" i="50"/>
  <c r="C35" i="50" s="1"/>
  <c r="I36" i="50"/>
  <c r="C36" i="50" s="1"/>
  <c r="I37" i="50"/>
  <c r="I38" i="50"/>
  <c r="C38" i="50" s="1"/>
  <c r="I39" i="50"/>
  <c r="C39" i="50" s="1"/>
  <c r="E24" i="50"/>
  <c r="E25" i="50"/>
  <c r="E26" i="50"/>
  <c r="E27" i="50"/>
  <c r="E28" i="50"/>
  <c r="E29" i="50"/>
  <c r="D24" i="50"/>
  <c r="D25" i="50"/>
  <c r="D26" i="50"/>
  <c r="D27" i="50"/>
  <c r="D28" i="50"/>
  <c r="D29" i="50"/>
  <c r="C24" i="50"/>
  <c r="C25" i="50"/>
  <c r="C26" i="50"/>
  <c r="C27" i="50"/>
  <c r="C28" i="50"/>
  <c r="C29" i="50"/>
  <c r="E9" i="50"/>
  <c r="E10" i="50"/>
  <c r="E11" i="50"/>
  <c r="E12" i="50"/>
  <c r="E13" i="50"/>
  <c r="E14" i="50"/>
  <c r="E15" i="50"/>
  <c r="E16" i="50"/>
  <c r="E17" i="50"/>
  <c r="E18" i="50"/>
  <c r="D9" i="50"/>
  <c r="D10" i="50"/>
  <c r="D11" i="50"/>
  <c r="D12" i="50"/>
  <c r="D13" i="50"/>
  <c r="D14" i="50"/>
  <c r="D15" i="50"/>
  <c r="D16" i="50"/>
  <c r="D17" i="50"/>
  <c r="D18" i="50"/>
  <c r="C9" i="50"/>
  <c r="C10" i="50"/>
  <c r="C11" i="50"/>
  <c r="C12" i="50"/>
  <c r="C13" i="50"/>
  <c r="C14" i="50"/>
  <c r="C15" i="50"/>
  <c r="C16" i="50"/>
  <c r="C17" i="50"/>
  <c r="C18" i="50"/>
  <c r="L57" i="50"/>
  <c r="K57" i="50"/>
  <c r="J57" i="50"/>
  <c r="I57" i="50"/>
  <c r="L56" i="50"/>
  <c r="K56" i="50"/>
  <c r="J56" i="50"/>
  <c r="L55" i="50"/>
  <c r="K55" i="50"/>
  <c r="J55" i="50"/>
  <c r="I55" i="50"/>
  <c r="E55" i="50"/>
  <c r="C55" i="50"/>
  <c r="L54" i="50"/>
  <c r="K54" i="50"/>
  <c r="J54" i="50"/>
  <c r="I54" i="50"/>
  <c r="E54" i="50"/>
  <c r="D54" i="50"/>
  <c r="C53" i="50"/>
  <c r="D38" i="49"/>
  <c r="D47" i="49" s="1"/>
  <c r="D39" i="49"/>
  <c r="D40" i="49"/>
  <c r="D41" i="49"/>
  <c r="D53" i="49"/>
  <c r="D59" i="49" s="1"/>
  <c r="C38" i="49"/>
  <c r="C39" i="49"/>
  <c r="C40" i="49"/>
  <c r="C41" i="49"/>
  <c r="T38" i="49"/>
  <c r="T39" i="49"/>
  <c r="T40" i="49"/>
  <c r="S38" i="49"/>
  <c r="S52" i="49" s="1"/>
  <c r="S58" i="49" s="1"/>
  <c r="S39" i="49"/>
  <c r="S40" i="49"/>
  <c r="D31" i="49"/>
  <c r="D32" i="49"/>
  <c r="D33" i="49"/>
  <c r="D34" i="49"/>
  <c r="C31" i="49"/>
  <c r="C46" i="49" s="1"/>
  <c r="C32" i="49"/>
  <c r="C33" i="49"/>
  <c r="C34" i="49"/>
  <c r="C52" i="49"/>
  <c r="C58" i="49" s="1"/>
  <c r="T31" i="49"/>
  <c r="T32" i="49"/>
  <c r="T33" i="49"/>
  <c r="T45" i="49" s="1"/>
  <c r="S31" i="49"/>
  <c r="S32" i="49"/>
  <c r="S33" i="49"/>
  <c r="D24" i="49"/>
  <c r="D25" i="49"/>
  <c r="D51" i="49" s="1"/>
  <c r="D57" i="49" s="1"/>
  <c r="D26" i="49"/>
  <c r="D27" i="49"/>
  <c r="C24" i="49"/>
  <c r="C25" i="49"/>
  <c r="C26" i="49"/>
  <c r="C27" i="49"/>
  <c r="T24" i="49"/>
  <c r="T25" i="49"/>
  <c r="T26" i="49"/>
  <c r="S24" i="49"/>
  <c r="S25" i="49"/>
  <c r="S50" i="49" s="1"/>
  <c r="S56" i="49" s="1"/>
  <c r="S26" i="49"/>
  <c r="D13" i="49"/>
  <c r="D14" i="49"/>
  <c r="D15" i="49"/>
  <c r="D16" i="49"/>
  <c r="D17" i="49"/>
  <c r="D18" i="49"/>
  <c r="D19" i="49"/>
  <c r="D20" i="49"/>
  <c r="C13" i="49"/>
  <c r="C14" i="49"/>
  <c r="C15" i="49"/>
  <c r="C50" i="49" s="1"/>
  <c r="C56" i="49" s="1"/>
  <c r="C16" i="49"/>
  <c r="C17" i="49"/>
  <c r="C18" i="49"/>
  <c r="C19" i="49"/>
  <c r="C20" i="49"/>
  <c r="T13" i="49"/>
  <c r="T14" i="49"/>
  <c r="T15" i="49"/>
  <c r="T16" i="49"/>
  <c r="T17" i="49"/>
  <c r="T18" i="49"/>
  <c r="T19" i="49"/>
  <c r="S13" i="49"/>
  <c r="S14" i="49"/>
  <c r="S15" i="49"/>
  <c r="S16" i="49"/>
  <c r="S17" i="49"/>
  <c r="S18" i="49"/>
  <c r="S19" i="49"/>
  <c r="AB49" i="49"/>
  <c r="AA49" i="49"/>
  <c r="Z49" i="49"/>
  <c r="L49" i="49"/>
  <c r="K49" i="49"/>
  <c r="J49" i="49"/>
  <c r="AB48" i="49"/>
  <c r="AA48" i="49"/>
  <c r="Z48" i="49"/>
  <c r="L48" i="49"/>
  <c r="K48" i="49"/>
  <c r="J48" i="49"/>
  <c r="AB47" i="49"/>
  <c r="AA47" i="49"/>
  <c r="Z47" i="49"/>
  <c r="L47" i="49"/>
  <c r="K47" i="49"/>
  <c r="J47" i="49"/>
  <c r="AB46" i="49"/>
  <c r="AA46" i="49"/>
  <c r="Z46" i="49"/>
  <c r="S46" i="49"/>
  <c r="L46" i="49"/>
  <c r="K46" i="49"/>
  <c r="J46" i="49"/>
  <c r="D45" i="49"/>
  <c r="S44" i="49"/>
  <c r="F24" i="48"/>
  <c r="F26" i="48" s="1"/>
  <c r="C24" i="48"/>
  <c r="C26" i="48" s="1"/>
  <c r="C23" i="48"/>
  <c r="H51" i="48"/>
  <c r="H53" i="48"/>
  <c r="G51" i="48"/>
  <c r="G53" i="48" s="1"/>
  <c r="F51" i="48"/>
  <c r="F53" i="48"/>
  <c r="E51" i="48"/>
  <c r="E53" i="48" s="1"/>
  <c r="D51" i="48"/>
  <c r="D53" i="48"/>
  <c r="H52" i="48"/>
  <c r="G52" i="48"/>
  <c r="F52" i="48"/>
  <c r="E52" i="48"/>
  <c r="D52" i="48"/>
  <c r="C52" i="48"/>
  <c r="C51" i="48"/>
  <c r="H50" i="48"/>
  <c r="G50" i="48"/>
  <c r="F50" i="48"/>
  <c r="E50" i="48"/>
  <c r="D50" i="48"/>
  <c r="C50" i="48"/>
  <c r="N45" i="48"/>
  <c r="N44" i="48"/>
  <c r="N43" i="48"/>
  <c r="N37" i="48"/>
  <c r="N35" i="48"/>
  <c r="N33" i="48"/>
  <c r="N26" i="48"/>
  <c r="H24" i="48"/>
  <c r="H26" i="48" s="1"/>
  <c r="G24" i="48"/>
  <c r="G26" i="48" s="1"/>
  <c r="E24" i="48"/>
  <c r="E26" i="48" s="1"/>
  <c r="D24" i="48"/>
  <c r="D26" i="48" s="1"/>
  <c r="N25" i="48"/>
  <c r="H25" i="48"/>
  <c r="G25" i="48"/>
  <c r="F25" i="48"/>
  <c r="E25" i="48"/>
  <c r="D25" i="48"/>
  <c r="C25" i="48"/>
  <c r="N24" i="48"/>
  <c r="N23" i="48"/>
  <c r="H23" i="48"/>
  <c r="G23" i="48"/>
  <c r="F23" i="48"/>
  <c r="E23" i="48"/>
  <c r="D23" i="48"/>
  <c r="N22" i="48"/>
  <c r="N21" i="48"/>
  <c r="N13" i="48"/>
  <c r="N12" i="48"/>
  <c r="N11" i="48"/>
  <c r="N10" i="48"/>
  <c r="K69" i="6"/>
  <c r="Q69" i="6"/>
  <c r="L69" i="6"/>
  <c r="R69" i="6" s="1"/>
  <c r="J69" i="6"/>
  <c r="P69" i="6"/>
  <c r="I69" i="6"/>
  <c r="O69" i="6" s="1"/>
  <c r="F69" i="6"/>
  <c r="E69" i="6"/>
  <c r="D69" i="6"/>
  <c r="C69" i="6"/>
  <c r="L68" i="6"/>
  <c r="R68" i="6" s="1"/>
  <c r="K68" i="6"/>
  <c r="Q68" i="6" s="1"/>
  <c r="J68" i="6"/>
  <c r="P68" i="6" s="1"/>
  <c r="I68" i="6"/>
  <c r="O68" i="6" s="1"/>
  <c r="F68" i="6"/>
  <c r="E68" i="6"/>
  <c r="D68" i="6"/>
  <c r="C68" i="6"/>
  <c r="L67" i="6"/>
  <c r="R67" i="6"/>
  <c r="K67" i="6"/>
  <c r="Q67" i="6" s="1"/>
  <c r="J67" i="6"/>
  <c r="P67" i="6" s="1"/>
  <c r="I67" i="6"/>
  <c r="O67" i="6" s="1"/>
  <c r="F67" i="6"/>
  <c r="E67" i="6"/>
  <c r="D67" i="6"/>
  <c r="C67" i="6"/>
  <c r="L66" i="6"/>
  <c r="R66" i="6" s="1"/>
  <c r="K66" i="6"/>
  <c r="Q66" i="6" s="1"/>
  <c r="J66" i="6"/>
  <c r="P66" i="6" s="1"/>
  <c r="I66" i="6"/>
  <c r="O66" i="6" s="1"/>
  <c r="F66" i="6"/>
  <c r="E66" i="6"/>
  <c r="D66" i="6"/>
  <c r="C66" i="6"/>
  <c r="G17" i="29"/>
  <c r="G18" i="29" s="1"/>
  <c r="C17" i="29"/>
  <c r="C18" i="29" s="1"/>
  <c r="Q51" i="43"/>
  <c r="R51" i="43" s="1"/>
  <c r="P51" i="43"/>
  <c r="M51" i="43"/>
  <c r="N51" i="43" s="1"/>
  <c r="L51" i="43"/>
  <c r="I51" i="43"/>
  <c r="J51" i="43" s="1"/>
  <c r="H51" i="43"/>
  <c r="E51" i="43"/>
  <c r="F51" i="43" s="1"/>
  <c r="D51" i="43"/>
  <c r="Q50" i="43"/>
  <c r="R50" i="43" s="1"/>
  <c r="P50" i="43"/>
  <c r="M50" i="43"/>
  <c r="N50" i="43" s="1"/>
  <c r="L50" i="43"/>
  <c r="I50" i="43"/>
  <c r="J50" i="43" s="1"/>
  <c r="H50" i="43"/>
  <c r="E50" i="43"/>
  <c r="F50" i="43" s="1"/>
  <c r="D50" i="43"/>
  <c r="Q49" i="43"/>
  <c r="R49" i="43" s="1"/>
  <c r="P49" i="43"/>
  <c r="M49" i="43"/>
  <c r="N49" i="43" s="1"/>
  <c r="L49" i="43"/>
  <c r="I49" i="43"/>
  <c r="J49" i="43" s="1"/>
  <c r="H49" i="43"/>
  <c r="E49" i="43"/>
  <c r="F49" i="43" s="1"/>
  <c r="D49" i="43"/>
  <c r="Q48" i="43"/>
  <c r="R48" i="43" s="1"/>
  <c r="P48" i="43"/>
  <c r="M48" i="43"/>
  <c r="N48" i="43" s="1"/>
  <c r="L48" i="43"/>
  <c r="I48" i="43"/>
  <c r="J48" i="43" s="1"/>
  <c r="H48" i="43"/>
  <c r="E48" i="43"/>
  <c r="F48" i="43" s="1"/>
  <c r="D48" i="43"/>
  <c r="Q34" i="43"/>
  <c r="R34" i="43" s="1"/>
  <c r="P34" i="43"/>
  <c r="M34" i="43"/>
  <c r="N34" i="43" s="1"/>
  <c r="L34" i="43"/>
  <c r="I34" i="43"/>
  <c r="J34" i="43" s="1"/>
  <c r="H34" i="43"/>
  <c r="E34" i="43"/>
  <c r="F34" i="43" s="1"/>
  <c r="D34" i="43"/>
  <c r="Q33" i="43"/>
  <c r="R33" i="43" s="1"/>
  <c r="P33" i="43"/>
  <c r="M33" i="43"/>
  <c r="N33" i="43" s="1"/>
  <c r="L33" i="43"/>
  <c r="I33" i="43"/>
  <c r="J33" i="43" s="1"/>
  <c r="H33" i="43"/>
  <c r="E33" i="43"/>
  <c r="F33" i="43" s="1"/>
  <c r="D33" i="43"/>
  <c r="Q32" i="43"/>
  <c r="R32" i="43" s="1"/>
  <c r="P32" i="43"/>
  <c r="M32" i="43"/>
  <c r="N32" i="43" s="1"/>
  <c r="L32" i="43"/>
  <c r="I32" i="43"/>
  <c r="J32" i="43" s="1"/>
  <c r="H32" i="43"/>
  <c r="E32" i="43"/>
  <c r="F32" i="43" s="1"/>
  <c r="D32" i="43"/>
  <c r="Q31" i="43"/>
  <c r="R31" i="43" s="1"/>
  <c r="P31" i="43"/>
  <c r="M31" i="43"/>
  <c r="N31" i="43" s="1"/>
  <c r="L31" i="43"/>
  <c r="I31" i="43"/>
  <c r="J31" i="43" s="1"/>
  <c r="H31" i="43"/>
  <c r="E31" i="43"/>
  <c r="F31" i="43" s="1"/>
  <c r="D31" i="43"/>
  <c r="Q18" i="43"/>
  <c r="R18" i="43" s="1"/>
  <c r="P18" i="43"/>
  <c r="M18" i="43"/>
  <c r="N18" i="43" s="1"/>
  <c r="L18" i="43"/>
  <c r="I18" i="43"/>
  <c r="J18" i="43" s="1"/>
  <c r="H18" i="43"/>
  <c r="E18" i="43"/>
  <c r="F18" i="43" s="1"/>
  <c r="D18" i="43"/>
  <c r="Q17" i="43"/>
  <c r="R17" i="43" s="1"/>
  <c r="P17" i="43"/>
  <c r="M17" i="43"/>
  <c r="N17" i="43"/>
  <c r="L17" i="43"/>
  <c r="I17" i="43"/>
  <c r="J17" i="43" s="1"/>
  <c r="H17" i="43"/>
  <c r="E17" i="43"/>
  <c r="F17" i="43" s="1"/>
  <c r="D17" i="43"/>
  <c r="Q16" i="43"/>
  <c r="R16" i="43" s="1"/>
  <c r="P16" i="43"/>
  <c r="M16" i="43"/>
  <c r="N16" i="43"/>
  <c r="L16" i="43"/>
  <c r="I16" i="43"/>
  <c r="J16" i="43" s="1"/>
  <c r="H16" i="43"/>
  <c r="E16" i="43"/>
  <c r="F16" i="43"/>
  <c r="D16" i="43"/>
  <c r="Q15" i="43"/>
  <c r="R15" i="43" s="1"/>
  <c r="P15" i="43"/>
  <c r="M15" i="43"/>
  <c r="N15" i="43" s="1"/>
  <c r="L15" i="43"/>
  <c r="I15" i="43"/>
  <c r="J15" i="43" s="1"/>
  <c r="H15" i="43"/>
  <c r="E15" i="43"/>
  <c r="F15" i="43"/>
  <c r="D15" i="43"/>
  <c r="D76" i="42"/>
  <c r="F106" i="42"/>
  <c r="F107" i="42" s="1"/>
  <c r="E106" i="42"/>
  <c r="E107" i="42" s="1"/>
  <c r="D106" i="42"/>
  <c r="D107" i="42" s="1"/>
  <c r="C106" i="42"/>
  <c r="C107" i="42" s="1"/>
  <c r="F105" i="42"/>
  <c r="E105" i="42"/>
  <c r="D105" i="42"/>
  <c r="C105" i="42"/>
  <c r="F77" i="42"/>
  <c r="F78" i="42" s="1"/>
  <c r="E77" i="42"/>
  <c r="E78" i="42" s="1"/>
  <c r="D77" i="42"/>
  <c r="D78" i="42" s="1"/>
  <c r="C77" i="42"/>
  <c r="C78" i="42" s="1"/>
  <c r="F76" i="42"/>
  <c r="E76" i="42"/>
  <c r="C76" i="42"/>
  <c r="F44" i="42"/>
  <c r="F45" i="42" s="1"/>
  <c r="E44" i="42"/>
  <c r="E45" i="42" s="1"/>
  <c r="D44" i="42"/>
  <c r="D45" i="42" s="1"/>
  <c r="C44" i="42"/>
  <c r="C45" i="42" s="1"/>
  <c r="F43" i="42"/>
  <c r="E43" i="42"/>
  <c r="D43" i="42"/>
  <c r="C43" i="42"/>
  <c r="F13" i="42"/>
  <c r="F14" i="42" s="1"/>
  <c r="E13" i="42"/>
  <c r="E14" i="42" s="1"/>
  <c r="D13" i="42"/>
  <c r="D14" i="42" s="1"/>
  <c r="C13" i="42"/>
  <c r="C14" i="42" s="1"/>
  <c r="F12" i="42"/>
  <c r="E12" i="42"/>
  <c r="D12" i="42"/>
  <c r="C12" i="42"/>
  <c r="J14" i="40"/>
  <c r="J15" i="40" s="1"/>
  <c r="I14" i="40"/>
  <c r="I15" i="40" s="1"/>
  <c r="H14" i="40"/>
  <c r="H15" i="40" s="1"/>
  <c r="E14" i="40"/>
  <c r="E15" i="40" s="1"/>
  <c r="D14" i="40"/>
  <c r="D15" i="40" s="1"/>
  <c r="C14" i="40"/>
  <c r="C15" i="40" s="1"/>
  <c r="J13" i="40"/>
  <c r="I13" i="40"/>
  <c r="H13" i="40"/>
  <c r="E13" i="40"/>
  <c r="D13" i="40"/>
  <c r="C13" i="40"/>
  <c r="F16" i="38"/>
  <c r="F17" i="38" s="1"/>
  <c r="E16" i="38"/>
  <c r="E17" i="38" s="1"/>
  <c r="D16" i="38"/>
  <c r="D17" i="38" s="1"/>
  <c r="C16" i="38"/>
  <c r="C17" i="38" s="1"/>
  <c r="F15" i="38"/>
  <c r="E15" i="38"/>
  <c r="D15" i="38"/>
  <c r="C15" i="38"/>
  <c r="I44" i="34"/>
  <c r="I45" i="34" s="1"/>
  <c r="H44" i="34"/>
  <c r="H45" i="34" s="1"/>
  <c r="G44" i="34"/>
  <c r="G45" i="34" s="1"/>
  <c r="F44" i="34"/>
  <c r="F45" i="34" s="1"/>
  <c r="E44" i="34"/>
  <c r="E45" i="34" s="1"/>
  <c r="D44" i="34"/>
  <c r="D45" i="34" s="1"/>
  <c r="C44" i="34"/>
  <c r="C45" i="34" s="1"/>
  <c r="I43" i="34"/>
  <c r="H43" i="34"/>
  <c r="G43" i="34"/>
  <c r="F43" i="34"/>
  <c r="E43" i="34"/>
  <c r="D43" i="34"/>
  <c r="C43" i="34"/>
  <c r="F13" i="34"/>
  <c r="F14" i="34" s="1"/>
  <c r="E13" i="34"/>
  <c r="E14" i="34" s="1"/>
  <c r="D13" i="34"/>
  <c r="D14" i="34" s="1"/>
  <c r="C13" i="34"/>
  <c r="C14" i="34" s="1"/>
  <c r="F12" i="34"/>
  <c r="E12" i="34"/>
  <c r="D12" i="34"/>
  <c r="C12" i="34"/>
  <c r="F79" i="35"/>
  <c r="F80" i="35" s="1"/>
  <c r="E79" i="35"/>
  <c r="E80" i="35" s="1"/>
  <c r="D79" i="35"/>
  <c r="D80" i="35" s="1"/>
  <c r="C79" i="35"/>
  <c r="C80" i="35" s="1"/>
  <c r="F78" i="35"/>
  <c r="E78" i="35"/>
  <c r="D78" i="35"/>
  <c r="C78" i="35"/>
  <c r="F47" i="35"/>
  <c r="F48" i="35" s="1"/>
  <c r="E47" i="35"/>
  <c r="E48" i="35"/>
  <c r="D47" i="35"/>
  <c r="D48" i="35" s="1"/>
  <c r="C47" i="35"/>
  <c r="C48" i="35" s="1"/>
  <c r="F46" i="35"/>
  <c r="E46" i="35"/>
  <c r="D46" i="35"/>
  <c r="C46" i="35"/>
  <c r="F15" i="35"/>
  <c r="F16" i="35" s="1"/>
  <c r="E15" i="35"/>
  <c r="E16" i="35"/>
  <c r="D15" i="35"/>
  <c r="D16" i="35" s="1"/>
  <c r="C15" i="35"/>
  <c r="C16" i="35" s="1"/>
  <c r="F14" i="35"/>
  <c r="E14" i="35"/>
  <c r="D14" i="35"/>
  <c r="C14" i="35"/>
  <c r="F78" i="36"/>
  <c r="F79" i="36" s="1"/>
  <c r="E78" i="36"/>
  <c r="E79" i="36" s="1"/>
  <c r="D78" i="36"/>
  <c r="D79" i="36" s="1"/>
  <c r="C78" i="36"/>
  <c r="C79" i="36" s="1"/>
  <c r="F77" i="36"/>
  <c r="E77" i="36"/>
  <c r="D77" i="36"/>
  <c r="C77" i="36"/>
  <c r="F46" i="36"/>
  <c r="F47" i="36" s="1"/>
  <c r="E46" i="36"/>
  <c r="E47" i="36"/>
  <c r="D46" i="36"/>
  <c r="D47" i="36" s="1"/>
  <c r="C46" i="36"/>
  <c r="C47" i="36" s="1"/>
  <c r="F45" i="36"/>
  <c r="E45" i="36"/>
  <c r="D45" i="36"/>
  <c r="C45" i="36"/>
  <c r="F15" i="36"/>
  <c r="F16" i="36" s="1"/>
  <c r="E15" i="36"/>
  <c r="E16" i="36"/>
  <c r="D15" i="36"/>
  <c r="D16" i="36" s="1"/>
  <c r="C15" i="36"/>
  <c r="C16" i="36" s="1"/>
  <c r="F14" i="36"/>
  <c r="E14" i="36"/>
  <c r="D14" i="36"/>
  <c r="C14" i="36"/>
  <c r="W8" i="30"/>
  <c r="W11" i="30" s="1"/>
  <c r="W9" i="30"/>
  <c r="W10" i="30"/>
  <c r="V8" i="30"/>
  <c r="V11" i="30" s="1"/>
  <c r="V9" i="30"/>
  <c r="V10" i="30"/>
  <c r="U8" i="30"/>
  <c r="U11" i="30" s="1"/>
  <c r="U9" i="30"/>
  <c r="U10" i="30"/>
  <c r="T8" i="30"/>
  <c r="T11" i="30" s="1"/>
  <c r="T9" i="30"/>
  <c r="T10" i="30"/>
  <c r="S20" i="30"/>
  <c r="S25" i="30" s="1"/>
  <c r="S26" i="30" s="1"/>
  <c r="S21" i="30"/>
  <c r="S22" i="30"/>
  <c r="O20" i="30"/>
  <c r="O21" i="30"/>
  <c r="O22" i="30"/>
  <c r="K20" i="30"/>
  <c r="K21" i="30"/>
  <c r="K22" i="30"/>
  <c r="G20" i="30"/>
  <c r="G25" i="30" s="1"/>
  <c r="G26" i="30" s="1"/>
  <c r="G21" i="30"/>
  <c r="G22" i="30"/>
  <c r="R20" i="30"/>
  <c r="R21" i="30"/>
  <c r="R22" i="30"/>
  <c r="N20" i="30"/>
  <c r="N21" i="30"/>
  <c r="N22" i="30"/>
  <c r="J20" i="30"/>
  <c r="J21" i="30"/>
  <c r="J25" i="30" s="1"/>
  <c r="J26" i="30" s="1"/>
  <c r="J22" i="30"/>
  <c r="F20" i="30"/>
  <c r="F21" i="30"/>
  <c r="F22" i="30"/>
  <c r="Q20" i="30"/>
  <c r="Q21" i="30"/>
  <c r="Q24" i="30" s="1"/>
  <c r="Q22" i="30"/>
  <c r="M20" i="30"/>
  <c r="M24" i="30" s="1"/>
  <c r="M21" i="30"/>
  <c r="M22" i="30"/>
  <c r="I20" i="30"/>
  <c r="E20" i="30"/>
  <c r="E24" i="30" s="1"/>
  <c r="E21" i="30"/>
  <c r="E22" i="30"/>
  <c r="P20" i="30"/>
  <c r="P25" i="30" s="1"/>
  <c r="P26" i="30" s="1"/>
  <c r="P21" i="30"/>
  <c r="P22" i="30"/>
  <c r="L20" i="30"/>
  <c r="L21" i="30"/>
  <c r="L22" i="30"/>
  <c r="H20" i="30"/>
  <c r="H21" i="30"/>
  <c r="H22" i="30"/>
  <c r="D20" i="30"/>
  <c r="D25" i="30" s="1"/>
  <c r="D26" i="30" s="1"/>
  <c r="D21" i="30"/>
  <c r="D22" i="30"/>
  <c r="R25" i="30"/>
  <c r="R26" i="30" s="1"/>
  <c r="S24" i="30"/>
  <c r="R24" i="30"/>
  <c r="J24" i="30"/>
  <c r="O11" i="33"/>
  <c r="N11" i="33"/>
  <c r="M11" i="33"/>
  <c r="L11" i="33"/>
  <c r="K14" i="33"/>
  <c r="K15" i="33"/>
  <c r="K16" i="33"/>
  <c r="J14" i="33"/>
  <c r="J15" i="33"/>
  <c r="J16" i="33"/>
  <c r="J18" i="33" s="1"/>
  <c r="I14" i="33"/>
  <c r="I15" i="33"/>
  <c r="I16" i="33"/>
  <c r="I19" i="33"/>
  <c r="I20" i="33" s="1"/>
  <c r="H14" i="33"/>
  <c r="H15" i="33"/>
  <c r="H16" i="33"/>
  <c r="G14" i="33"/>
  <c r="G18" i="33" s="1"/>
  <c r="G15" i="33"/>
  <c r="G16" i="33"/>
  <c r="F14" i="33"/>
  <c r="F18" i="33" s="1"/>
  <c r="F15" i="33"/>
  <c r="F16" i="33"/>
  <c r="E14" i="33"/>
  <c r="E19" i="33" s="1"/>
  <c r="E20" i="33" s="1"/>
  <c r="E15" i="33"/>
  <c r="E16" i="33"/>
  <c r="D14" i="33"/>
  <c r="D15" i="33"/>
  <c r="D16" i="33"/>
  <c r="W8" i="31"/>
  <c r="S14" i="31" s="1"/>
  <c r="W9" i="31"/>
  <c r="S15" i="31" s="1"/>
  <c r="W10" i="31"/>
  <c r="S16" i="31" s="1"/>
  <c r="V8" i="31"/>
  <c r="R14" i="31" s="1"/>
  <c r="V9" i="31"/>
  <c r="R15" i="31" s="1"/>
  <c r="V10" i="31"/>
  <c r="R16" i="31" s="1"/>
  <c r="U8" i="31"/>
  <c r="Q14" i="31" s="1"/>
  <c r="U9" i="31"/>
  <c r="Q15" i="31" s="1"/>
  <c r="U10" i="31"/>
  <c r="Q16" i="31"/>
  <c r="T8" i="31"/>
  <c r="P14" i="31" s="1"/>
  <c r="T9" i="31"/>
  <c r="L15" i="31" s="1"/>
  <c r="P15" i="31"/>
  <c r="T10" i="31"/>
  <c r="P16" i="31" s="1"/>
  <c r="O14" i="31"/>
  <c r="O15" i="31"/>
  <c r="O16" i="31"/>
  <c r="N15" i="31"/>
  <c r="M16" i="31"/>
  <c r="L14" i="31"/>
  <c r="K14" i="31"/>
  <c r="K15" i="31"/>
  <c r="K16" i="31"/>
  <c r="J15" i="31"/>
  <c r="J16" i="31"/>
  <c r="I14" i="31"/>
  <c r="I16" i="31"/>
  <c r="H14" i="31"/>
  <c r="H15" i="31"/>
  <c r="G14" i="31"/>
  <c r="G15" i="31"/>
  <c r="G16" i="31"/>
  <c r="G18" i="31" s="1"/>
  <c r="F14" i="31"/>
  <c r="F15" i="31"/>
  <c r="F16" i="31"/>
  <c r="F18" i="31"/>
  <c r="E14" i="31"/>
  <c r="E16" i="31"/>
  <c r="D14" i="31"/>
  <c r="D15" i="31"/>
  <c r="W11" i="31"/>
  <c r="V11" i="31"/>
  <c r="U11" i="31"/>
  <c r="T11" i="31"/>
  <c r="L11" i="32"/>
  <c r="K14" i="32"/>
  <c r="K15" i="32"/>
  <c r="K16" i="32"/>
  <c r="K19" i="32" s="1"/>
  <c r="K20" i="32" s="1"/>
  <c r="J14" i="32"/>
  <c r="J15" i="32"/>
  <c r="J16" i="32"/>
  <c r="I14" i="32"/>
  <c r="I18" i="32" s="1"/>
  <c r="I15" i="32"/>
  <c r="I16" i="32"/>
  <c r="H14" i="32"/>
  <c r="H15" i="32"/>
  <c r="H19" i="32" s="1"/>
  <c r="H20" i="32" s="1"/>
  <c r="H16" i="32"/>
  <c r="G14" i="32"/>
  <c r="G15" i="32"/>
  <c r="G16" i="32"/>
  <c r="F14" i="32"/>
  <c r="F15" i="32"/>
  <c r="F16" i="32"/>
  <c r="E14" i="32"/>
  <c r="E19" i="32" s="1"/>
  <c r="E20" i="32" s="1"/>
  <c r="E15" i="32"/>
  <c r="E16" i="32"/>
  <c r="D14" i="32"/>
  <c r="D15" i="32"/>
  <c r="D19" i="32" s="1"/>
  <c r="D20" i="32" s="1"/>
  <c r="D16" i="32"/>
  <c r="O11" i="32"/>
  <c r="N11" i="32"/>
  <c r="M11" i="32"/>
  <c r="G16" i="29"/>
  <c r="C16" i="29"/>
  <c r="E9" i="28"/>
  <c r="J12" i="28"/>
  <c r="E12" i="28"/>
  <c r="J11" i="28"/>
  <c r="E11" i="28"/>
  <c r="J10" i="28"/>
  <c r="E10" i="28"/>
  <c r="J9" i="28"/>
  <c r="AE16" i="27"/>
  <c r="AE17" i="27" s="1"/>
  <c r="AD16" i="27"/>
  <c r="AD17" i="27" s="1"/>
  <c r="AC16" i="27"/>
  <c r="AC17" i="27" s="1"/>
  <c r="AB16" i="27"/>
  <c r="AB17" i="27" s="1"/>
  <c r="AA16" i="27"/>
  <c r="AA17" i="27" s="1"/>
  <c r="W9" i="27"/>
  <c r="W16" i="27" s="1"/>
  <c r="W17" i="27" s="1"/>
  <c r="V16" i="27"/>
  <c r="V17" i="27" s="1"/>
  <c r="U16" i="27"/>
  <c r="U17" i="27" s="1"/>
  <c r="T16" i="27"/>
  <c r="T17" i="27" s="1"/>
  <c r="S16" i="27"/>
  <c r="S17" i="27" s="1"/>
  <c r="O16" i="27"/>
  <c r="O17" i="27"/>
  <c r="N16" i="27"/>
  <c r="N17" i="27" s="1"/>
  <c r="M16" i="27"/>
  <c r="M17" i="27"/>
  <c r="L16" i="27"/>
  <c r="L17" i="27" s="1"/>
  <c r="K16" i="27"/>
  <c r="K17" i="27" s="1"/>
  <c r="G16" i="27"/>
  <c r="G17" i="27" s="1"/>
  <c r="F16" i="27"/>
  <c r="F17" i="27" s="1"/>
  <c r="E16" i="27"/>
  <c r="E17" i="27" s="1"/>
  <c r="D16" i="27"/>
  <c r="D17" i="27"/>
  <c r="C16" i="27"/>
  <c r="C17" i="27" s="1"/>
  <c r="AE15" i="27"/>
  <c r="AD15" i="27"/>
  <c r="AC15" i="27"/>
  <c r="AB15" i="27"/>
  <c r="AA15" i="27"/>
  <c r="V15" i="27"/>
  <c r="U15" i="27"/>
  <c r="T15" i="27"/>
  <c r="S15" i="27"/>
  <c r="O15" i="27"/>
  <c r="N15" i="27"/>
  <c r="M15" i="27"/>
  <c r="L15" i="27"/>
  <c r="K15" i="27"/>
  <c r="G15" i="27"/>
  <c r="F15" i="27"/>
  <c r="E15" i="27"/>
  <c r="D15" i="27"/>
  <c r="C15" i="27"/>
  <c r="U35" i="26"/>
  <c r="N14" i="25"/>
  <c r="L12" i="25"/>
  <c r="E11" i="25"/>
  <c r="C11" i="25"/>
  <c r="L11" i="26"/>
  <c r="N31" i="26"/>
  <c r="M31" i="26"/>
  <c r="L31" i="26"/>
  <c r="N30" i="26"/>
  <c r="M30" i="26"/>
  <c r="L30" i="26"/>
  <c r="N29" i="26"/>
  <c r="M29" i="26"/>
  <c r="M44" i="26" s="1"/>
  <c r="M50" i="26" s="1"/>
  <c r="L29" i="26"/>
  <c r="N28" i="26"/>
  <c r="M28" i="26"/>
  <c r="L28" i="26"/>
  <c r="L38" i="26" s="1"/>
  <c r="N25" i="26"/>
  <c r="M25" i="26"/>
  <c r="L25" i="26"/>
  <c r="N24" i="26"/>
  <c r="N43" i="26" s="1"/>
  <c r="N49" i="26" s="1"/>
  <c r="M24" i="26"/>
  <c r="L24" i="26"/>
  <c r="N23" i="26"/>
  <c r="M23" i="26"/>
  <c r="M43" i="26" s="1"/>
  <c r="M49" i="26" s="1"/>
  <c r="L23" i="26"/>
  <c r="N20" i="26"/>
  <c r="M20" i="26"/>
  <c r="L20" i="26"/>
  <c r="L42" i="26" s="1"/>
  <c r="L48" i="26" s="1"/>
  <c r="N19" i="26"/>
  <c r="M19" i="26"/>
  <c r="L19" i="26"/>
  <c r="N18" i="26"/>
  <c r="N42" i="26" s="1"/>
  <c r="N48" i="26" s="1"/>
  <c r="M18" i="26"/>
  <c r="L18" i="26"/>
  <c r="N14" i="26"/>
  <c r="M14" i="26"/>
  <c r="M41" i="26" s="1"/>
  <c r="M47" i="26" s="1"/>
  <c r="L14" i="26"/>
  <c r="N13" i="26"/>
  <c r="M13" i="26"/>
  <c r="L13" i="26"/>
  <c r="N12" i="26"/>
  <c r="M12" i="26"/>
  <c r="L12" i="26"/>
  <c r="N11" i="26"/>
  <c r="N41" i="26" s="1"/>
  <c r="N47" i="26" s="1"/>
  <c r="M11" i="26"/>
  <c r="E31" i="26"/>
  <c r="D31" i="26"/>
  <c r="C31" i="26"/>
  <c r="E30" i="26"/>
  <c r="D30" i="26"/>
  <c r="C30" i="26"/>
  <c r="E29" i="26"/>
  <c r="E44" i="26" s="1"/>
  <c r="E50" i="26" s="1"/>
  <c r="D29" i="26"/>
  <c r="D44" i="26" s="1"/>
  <c r="D50" i="26" s="1"/>
  <c r="D28" i="26"/>
  <c r="C29" i="26"/>
  <c r="C44" i="26" s="1"/>
  <c r="C50" i="26" s="1"/>
  <c r="E28" i="26"/>
  <c r="C28" i="26"/>
  <c r="E25" i="26"/>
  <c r="D25" i="26"/>
  <c r="D43" i="26" s="1"/>
  <c r="D49" i="26" s="1"/>
  <c r="C25" i="26"/>
  <c r="E24" i="26"/>
  <c r="D24" i="26"/>
  <c r="C24" i="26"/>
  <c r="C37" i="26" s="1"/>
  <c r="E23" i="26"/>
  <c r="D23" i="26"/>
  <c r="C23" i="26"/>
  <c r="E20" i="26"/>
  <c r="E36" i="26" s="1"/>
  <c r="D20" i="26"/>
  <c r="C20" i="26"/>
  <c r="E19" i="26"/>
  <c r="D19" i="26"/>
  <c r="D42" i="26" s="1"/>
  <c r="D48" i="26" s="1"/>
  <c r="C19" i="26"/>
  <c r="E18" i="26"/>
  <c r="D18" i="26"/>
  <c r="C18" i="26"/>
  <c r="C42" i="26" s="1"/>
  <c r="C48" i="26" s="1"/>
  <c r="E15" i="26"/>
  <c r="D15" i="26"/>
  <c r="C15" i="26"/>
  <c r="E14" i="26"/>
  <c r="E35" i="26" s="1"/>
  <c r="D14" i="26"/>
  <c r="C14" i="26"/>
  <c r="E13" i="26"/>
  <c r="D13" i="26"/>
  <c r="D41" i="26" s="1"/>
  <c r="D47" i="26" s="1"/>
  <c r="C13" i="26"/>
  <c r="E12" i="26"/>
  <c r="D12" i="26"/>
  <c r="C12" i="26"/>
  <c r="E11" i="26"/>
  <c r="D11" i="26"/>
  <c r="C11" i="26"/>
  <c r="N44" i="26"/>
  <c r="N50" i="26" s="1"/>
  <c r="L43" i="26"/>
  <c r="L49" i="26" s="1"/>
  <c r="M42" i="26"/>
  <c r="M48" i="26"/>
  <c r="AG38" i="26"/>
  <c r="AF38" i="26"/>
  <c r="AE38" i="26"/>
  <c r="AD38" i="26"/>
  <c r="X38" i="26"/>
  <c r="W38" i="26"/>
  <c r="V38" i="26"/>
  <c r="U38" i="26"/>
  <c r="M38" i="26"/>
  <c r="D38" i="26"/>
  <c r="AG37" i="26"/>
  <c r="AF37" i="26"/>
  <c r="AE37" i="26"/>
  <c r="AD37" i="26"/>
  <c r="X37" i="26"/>
  <c r="W37" i="26"/>
  <c r="V37" i="26"/>
  <c r="U37" i="26"/>
  <c r="L37" i="26"/>
  <c r="E37" i="26"/>
  <c r="AG36" i="26"/>
  <c r="AF36" i="26"/>
  <c r="AE36" i="26"/>
  <c r="AD36" i="26"/>
  <c r="X36" i="26"/>
  <c r="W36" i="26"/>
  <c r="V36" i="26"/>
  <c r="U36" i="26"/>
  <c r="M36" i="26"/>
  <c r="AG35" i="26"/>
  <c r="AF35" i="26"/>
  <c r="AE35" i="26"/>
  <c r="AD35" i="26"/>
  <c r="X35" i="26"/>
  <c r="W35" i="26"/>
  <c r="V35" i="26"/>
  <c r="N35" i="26"/>
  <c r="D35" i="26"/>
  <c r="N31" i="25"/>
  <c r="M31" i="25"/>
  <c r="L31" i="25"/>
  <c r="N30" i="25"/>
  <c r="M30" i="25"/>
  <c r="L30" i="25"/>
  <c r="N29" i="25"/>
  <c r="M29" i="25"/>
  <c r="L29" i="25"/>
  <c r="N28" i="25"/>
  <c r="M28" i="25"/>
  <c r="L28" i="25"/>
  <c r="N25" i="25"/>
  <c r="M25" i="25"/>
  <c r="L25" i="25"/>
  <c r="L37" i="25" s="1"/>
  <c r="N24" i="25"/>
  <c r="M24" i="25"/>
  <c r="L24" i="25"/>
  <c r="N23" i="25"/>
  <c r="M23" i="25"/>
  <c r="L23" i="25"/>
  <c r="L43" i="25" s="1"/>
  <c r="L49" i="25" s="1"/>
  <c r="N20" i="25"/>
  <c r="M20" i="25"/>
  <c r="L20" i="25"/>
  <c r="N19" i="25"/>
  <c r="M19" i="25"/>
  <c r="L19" i="25"/>
  <c r="N18" i="25"/>
  <c r="M18" i="25"/>
  <c r="L18" i="25"/>
  <c r="M14" i="25"/>
  <c r="L14" i="25"/>
  <c r="N13" i="25"/>
  <c r="M13" i="25"/>
  <c r="L13" i="25"/>
  <c r="N12" i="25"/>
  <c r="M12" i="25"/>
  <c r="N11" i="25"/>
  <c r="M11" i="25"/>
  <c r="M41" i="25" s="1"/>
  <c r="M47" i="25" s="1"/>
  <c r="L11" i="25"/>
  <c r="E31" i="25"/>
  <c r="D31" i="25"/>
  <c r="C31" i="25"/>
  <c r="E30" i="25"/>
  <c r="D30" i="25"/>
  <c r="C30" i="25"/>
  <c r="E29" i="25"/>
  <c r="D29" i="25"/>
  <c r="C29" i="25"/>
  <c r="E28" i="25"/>
  <c r="D28" i="25"/>
  <c r="C28" i="25"/>
  <c r="E25" i="25"/>
  <c r="D25" i="25"/>
  <c r="C25" i="25"/>
  <c r="C43" i="25" s="1"/>
  <c r="C49" i="25" s="1"/>
  <c r="E24" i="25"/>
  <c r="D24" i="25"/>
  <c r="C24" i="25"/>
  <c r="E23" i="25"/>
  <c r="D23" i="25"/>
  <c r="C23" i="25"/>
  <c r="E20" i="25"/>
  <c r="D20" i="25"/>
  <c r="C20" i="25"/>
  <c r="E19" i="25"/>
  <c r="D19" i="25"/>
  <c r="C19" i="25"/>
  <c r="E18" i="25"/>
  <c r="E42" i="25" s="1"/>
  <c r="E48" i="25" s="1"/>
  <c r="D18" i="25"/>
  <c r="C18" i="25"/>
  <c r="E15" i="25"/>
  <c r="D15" i="25"/>
  <c r="C15" i="25"/>
  <c r="E14" i="25"/>
  <c r="D14" i="25"/>
  <c r="C14" i="25"/>
  <c r="E13" i="25"/>
  <c r="D13" i="25"/>
  <c r="C13" i="25"/>
  <c r="C41" i="25" s="1"/>
  <c r="C47" i="25" s="1"/>
  <c r="E12" i="25"/>
  <c r="D12" i="25"/>
  <c r="C12" i="25"/>
  <c r="D11" i="25"/>
  <c r="D35" i="25" s="1"/>
  <c r="M43" i="25"/>
  <c r="M49" i="25" s="1"/>
  <c r="AG38" i="25"/>
  <c r="AF38" i="25"/>
  <c r="AE38" i="25"/>
  <c r="AD38" i="25"/>
  <c r="X38" i="25"/>
  <c r="W38" i="25"/>
  <c r="V38" i="25"/>
  <c r="U38" i="25"/>
  <c r="E38" i="25"/>
  <c r="AG37" i="25"/>
  <c r="AF37" i="25"/>
  <c r="AE37" i="25"/>
  <c r="AD37" i="25"/>
  <c r="X37" i="25"/>
  <c r="W37" i="25"/>
  <c r="V37" i="25"/>
  <c r="U37" i="25"/>
  <c r="M37" i="25"/>
  <c r="D37" i="25"/>
  <c r="C37" i="25"/>
  <c r="AG36" i="25"/>
  <c r="AF36" i="25"/>
  <c r="AE36" i="25"/>
  <c r="AD36" i="25"/>
  <c r="X36" i="25"/>
  <c r="W36" i="25"/>
  <c r="V36" i="25"/>
  <c r="U36" i="25"/>
  <c r="N36" i="25"/>
  <c r="E36" i="25"/>
  <c r="AG35" i="25"/>
  <c r="AF35" i="25"/>
  <c r="AE35" i="25"/>
  <c r="AD35" i="25"/>
  <c r="X35" i="25"/>
  <c r="W35" i="25"/>
  <c r="V35" i="25"/>
  <c r="U35" i="25"/>
  <c r="M35" i="25"/>
  <c r="C35" i="25"/>
  <c r="C16" i="23"/>
  <c r="F17" i="23"/>
  <c r="F18" i="23" s="1"/>
  <c r="E17" i="23"/>
  <c r="E18" i="23" s="1"/>
  <c r="D17" i="23"/>
  <c r="D18" i="23" s="1"/>
  <c r="C17" i="23"/>
  <c r="C18" i="23" s="1"/>
  <c r="F16" i="23"/>
  <c r="E16" i="23"/>
  <c r="D16" i="23"/>
  <c r="I102" i="22"/>
  <c r="E103" i="22"/>
  <c r="E104" i="22" s="1"/>
  <c r="E102" i="22"/>
  <c r="D103" i="22"/>
  <c r="D104" i="22" s="1"/>
  <c r="C103" i="22"/>
  <c r="C104" i="22" s="1"/>
  <c r="C102" i="22"/>
  <c r="K103" i="22"/>
  <c r="K104" i="22" s="1"/>
  <c r="J103" i="22"/>
  <c r="J104" i="22" s="1"/>
  <c r="I103" i="22"/>
  <c r="I104" i="22" s="1"/>
  <c r="K102" i="22"/>
  <c r="J102" i="22"/>
  <c r="D102" i="22"/>
  <c r="W106" i="21"/>
  <c r="W107" i="21" s="1"/>
  <c r="V106" i="21"/>
  <c r="V107" i="21" s="1"/>
  <c r="U106" i="21"/>
  <c r="U107" i="21" s="1"/>
  <c r="Q106" i="21"/>
  <c r="Q107" i="21" s="1"/>
  <c r="P106" i="21"/>
  <c r="P107" i="21" s="1"/>
  <c r="O106" i="21"/>
  <c r="O107" i="21" s="1"/>
  <c r="K106" i="21"/>
  <c r="K107" i="21" s="1"/>
  <c r="J106" i="21"/>
  <c r="J107" i="21" s="1"/>
  <c r="I106" i="21"/>
  <c r="I107" i="21" s="1"/>
  <c r="E106" i="21"/>
  <c r="E107" i="21" s="1"/>
  <c r="D106" i="21"/>
  <c r="D107" i="21" s="1"/>
  <c r="C106" i="21"/>
  <c r="C107" i="21" s="1"/>
  <c r="W105" i="21"/>
  <c r="V105" i="21"/>
  <c r="U105" i="21"/>
  <c r="Q105" i="21"/>
  <c r="P105" i="21"/>
  <c r="O105" i="21"/>
  <c r="K105" i="21"/>
  <c r="J105" i="21"/>
  <c r="I105" i="21"/>
  <c r="E105" i="21"/>
  <c r="D105" i="21"/>
  <c r="C105" i="21"/>
  <c r="M200" i="20"/>
  <c r="M201" i="20"/>
  <c r="L200" i="20"/>
  <c r="L201" i="20" s="1"/>
  <c r="K200" i="20"/>
  <c r="K201" i="20" s="1"/>
  <c r="J200" i="20"/>
  <c r="J201" i="20" s="1"/>
  <c r="F200" i="20"/>
  <c r="F201" i="20" s="1"/>
  <c r="E200" i="20"/>
  <c r="E201" i="20" s="1"/>
  <c r="D200" i="20"/>
  <c r="D201" i="20" s="1"/>
  <c r="C200" i="20"/>
  <c r="C201" i="20" s="1"/>
  <c r="M199" i="20"/>
  <c r="L199" i="20"/>
  <c r="K199" i="20"/>
  <c r="J199" i="20"/>
  <c r="F199" i="20"/>
  <c r="E199" i="20"/>
  <c r="D199" i="20"/>
  <c r="C199" i="20"/>
  <c r="M164" i="20"/>
  <c r="M165" i="20"/>
  <c r="L164" i="20"/>
  <c r="L165" i="20" s="1"/>
  <c r="K164" i="20"/>
  <c r="K165" i="20" s="1"/>
  <c r="J164" i="20"/>
  <c r="J165" i="20" s="1"/>
  <c r="F164" i="20"/>
  <c r="F165" i="20" s="1"/>
  <c r="E164" i="20"/>
  <c r="E165" i="20" s="1"/>
  <c r="D164" i="20"/>
  <c r="D165" i="20" s="1"/>
  <c r="C164" i="20"/>
  <c r="C165" i="20" s="1"/>
  <c r="M163" i="20"/>
  <c r="L163" i="20"/>
  <c r="K163" i="20"/>
  <c r="J163" i="20"/>
  <c r="F163" i="20"/>
  <c r="E163" i="20"/>
  <c r="D163" i="20"/>
  <c r="C163" i="20"/>
  <c r="M128" i="20"/>
  <c r="M129" i="20"/>
  <c r="L128" i="20"/>
  <c r="L129" i="20" s="1"/>
  <c r="K128" i="20"/>
  <c r="K129" i="20" s="1"/>
  <c r="J128" i="20"/>
  <c r="J129" i="20" s="1"/>
  <c r="F128" i="20"/>
  <c r="F129" i="20" s="1"/>
  <c r="E128" i="20"/>
  <c r="E129" i="20" s="1"/>
  <c r="D128" i="20"/>
  <c r="D129" i="20" s="1"/>
  <c r="C128" i="20"/>
  <c r="C129" i="20" s="1"/>
  <c r="M127" i="20"/>
  <c r="L127" i="20"/>
  <c r="K127" i="20"/>
  <c r="J127" i="20"/>
  <c r="F127" i="20"/>
  <c r="E127" i="20"/>
  <c r="D127" i="20"/>
  <c r="C127" i="20"/>
  <c r="M92" i="20"/>
  <c r="M93" i="20"/>
  <c r="L92" i="20"/>
  <c r="L93" i="20" s="1"/>
  <c r="K92" i="20"/>
  <c r="K93" i="20" s="1"/>
  <c r="J92" i="20"/>
  <c r="J93" i="20" s="1"/>
  <c r="F92" i="20"/>
  <c r="F93" i="20" s="1"/>
  <c r="E92" i="20"/>
  <c r="E93" i="20" s="1"/>
  <c r="D92" i="20"/>
  <c r="D93" i="20" s="1"/>
  <c r="C92" i="20"/>
  <c r="C93" i="20" s="1"/>
  <c r="M91" i="20"/>
  <c r="L91" i="20"/>
  <c r="K91" i="20"/>
  <c r="J91" i="20"/>
  <c r="F91" i="20"/>
  <c r="E91" i="20"/>
  <c r="D91" i="20"/>
  <c r="C91" i="20"/>
  <c r="M56" i="20"/>
  <c r="M57" i="20" s="1"/>
  <c r="L56" i="20"/>
  <c r="L57" i="20" s="1"/>
  <c r="K56" i="20"/>
  <c r="K57" i="20" s="1"/>
  <c r="J56" i="20"/>
  <c r="J57" i="20" s="1"/>
  <c r="F56" i="20"/>
  <c r="F57" i="20" s="1"/>
  <c r="E56" i="20"/>
  <c r="E57" i="20" s="1"/>
  <c r="D56" i="20"/>
  <c r="D57" i="20" s="1"/>
  <c r="C56" i="20"/>
  <c r="C57" i="20" s="1"/>
  <c r="M55" i="20"/>
  <c r="L55" i="20"/>
  <c r="K55" i="20"/>
  <c r="J55" i="20"/>
  <c r="F55" i="20"/>
  <c r="E55" i="20"/>
  <c r="D55" i="20"/>
  <c r="C55" i="20"/>
  <c r="M20" i="20"/>
  <c r="M21" i="20" s="1"/>
  <c r="L20" i="20"/>
  <c r="L21" i="20" s="1"/>
  <c r="K20" i="20"/>
  <c r="K21" i="20"/>
  <c r="J20" i="20"/>
  <c r="J21" i="20" s="1"/>
  <c r="F20" i="20"/>
  <c r="F21" i="20" s="1"/>
  <c r="E20" i="20"/>
  <c r="E21" i="20" s="1"/>
  <c r="D20" i="20"/>
  <c r="D21" i="20" s="1"/>
  <c r="C20" i="20"/>
  <c r="C21" i="20" s="1"/>
  <c r="M19" i="20"/>
  <c r="L19" i="20"/>
  <c r="K19" i="20"/>
  <c r="J19" i="20"/>
  <c r="F19" i="20"/>
  <c r="E19" i="20"/>
  <c r="D19" i="20"/>
  <c r="C19" i="20"/>
  <c r="C231" i="19"/>
  <c r="F232" i="19"/>
  <c r="F233" i="19" s="1"/>
  <c r="E232" i="19"/>
  <c r="E233" i="19" s="1"/>
  <c r="D232" i="19"/>
  <c r="D233" i="19" s="1"/>
  <c r="C232" i="19"/>
  <c r="C233" i="19" s="1"/>
  <c r="F231" i="19"/>
  <c r="E231" i="19"/>
  <c r="D231" i="19"/>
  <c r="F13" i="18"/>
  <c r="E13" i="18"/>
  <c r="D13" i="18"/>
  <c r="F12" i="18"/>
  <c r="E12" i="18"/>
  <c r="D12" i="18"/>
  <c r="F11" i="18"/>
  <c r="E11" i="18"/>
  <c r="D11" i="18"/>
  <c r="F10" i="18"/>
  <c r="E10" i="18"/>
  <c r="D10" i="18"/>
  <c r="C13" i="18"/>
  <c r="C12" i="18"/>
  <c r="C11" i="18"/>
  <c r="C10" i="18"/>
  <c r="AG31" i="17"/>
  <c r="N31" i="17" s="1"/>
  <c r="AG30" i="17"/>
  <c r="N30" i="17"/>
  <c r="AG29" i="17"/>
  <c r="N29" i="17" s="1"/>
  <c r="N37" i="17" s="1"/>
  <c r="AG26" i="17"/>
  <c r="N26" i="17"/>
  <c r="AG25" i="17"/>
  <c r="N25" i="17" s="1"/>
  <c r="N36" i="17" s="1"/>
  <c r="AG24" i="17"/>
  <c r="N24" i="17"/>
  <c r="AG21" i="17"/>
  <c r="N21" i="17" s="1"/>
  <c r="AG20" i="17"/>
  <c r="N20" i="17"/>
  <c r="AG19" i="17"/>
  <c r="N19" i="17" s="1"/>
  <c r="N35" i="17" s="1"/>
  <c r="AG16" i="17"/>
  <c r="N16" i="17"/>
  <c r="AG15" i="17"/>
  <c r="N15" i="17" s="1"/>
  <c r="AG14" i="17"/>
  <c r="N14" i="17"/>
  <c r="AG13" i="17"/>
  <c r="N13" i="17" s="1"/>
  <c r="AG12" i="17"/>
  <c r="N12" i="17"/>
  <c r="AG11" i="17"/>
  <c r="L11" i="17" s="1"/>
  <c r="X11" i="17"/>
  <c r="C11" i="17"/>
  <c r="X12" i="17"/>
  <c r="X13" i="17"/>
  <c r="C13" i="17"/>
  <c r="X14" i="17"/>
  <c r="X15" i="17"/>
  <c r="C15" i="17"/>
  <c r="D12" i="17"/>
  <c r="D14" i="17"/>
  <c r="X19" i="17"/>
  <c r="D19" i="17"/>
  <c r="X20" i="17"/>
  <c r="C20" i="17"/>
  <c r="X21" i="17"/>
  <c r="D21" i="17"/>
  <c r="D20" i="17"/>
  <c r="E20" i="17"/>
  <c r="X24" i="17"/>
  <c r="C24" i="17"/>
  <c r="X25" i="17"/>
  <c r="C25" i="17" s="1"/>
  <c r="X26" i="17"/>
  <c r="C26" i="17"/>
  <c r="D24" i="17"/>
  <c r="D26" i="17"/>
  <c r="E24" i="17"/>
  <c r="E26" i="17"/>
  <c r="X29" i="17"/>
  <c r="D29" i="17" s="1"/>
  <c r="X30" i="17"/>
  <c r="D30" i="17"/>
  <c r="X31" i="17"/>
  <c r="C31" i="17" s="1"/>
  <c r="E31" i="17"/>
  <c r="AF36" i="17"/>
  <c r="AE36" i="17"/>
  <c r="AD36" i="17"/>
  <c r="AC36" i="17"/>
  <c r="W36" i="17"/>
  <c r="V36" i="17"/>
  <c r="U36" i="17"/>
  <c r="T36" i="17"/>
  <c r="F19" i="16"/>
  <c r="F20" i="16" s="1"/>
  <c r="E19" i="16"/>
  <c r="E20" i="16"/>
  <c r="D19" i="16"/>
  <c r="D20" i="16" s="1"/>
  <c r="C19" i="16"/>
  <c r="C20" i="16"/>
  <c r="F18" i="16"/>
  <c r="E18" i="16"/>
  <c r="D18" i="16"/>
  <c r="C18" i="16"/>
  <c r="G39" i="15"/>
  <c r="G40" i="15" s="1"/>
  <c r="F39" i="15"/>
  <c r="F40" i="15" s="1"/>
  <c r="E39" i="15"/>
  <c r="E40" i="15" s="1"/>
  <c r="D39" i="15"/>
  <c r="D40" i="15" s="1"/>
  <c r="G38" i="15"/>
  <c r="F38" i="15"/>
  <c r="E38" i="15"/>
  <c r="D38" i="15"/>
  <c r="G76" i="13"/>
  <c r="G77" i="13"/>
  <c r="G75" i="13"/>
  <c r="F76" i="13"/>
  <c r="F77" i="13"/>
  <c r="F75" i="13"/>
  <c r="E76" i="13"/>
  <c r="E77" i="13" s="1"/>
  <c r="E75" i="13"/>
  <c r="D76" i="13"/>
  <c r="D77" i="13" s="1"/>
  <c r="D75" i="13"/>
  <c r="C76" i="13"/>
  <c r="C77" i="13" s="1"/>
  <c r="C75" i="13"/>
  <c r="G46" i="13"/>
  <c r="G47" i="13" s="1"/>
  <c r="C46" i="13"/>
  <c r="C47" i="13" s="1"/>
  <c r="C45" i="13"/>
  <c r="D46" i="13"/>
  <c r="D47" i="13"/>
  <c r="E46" i="13"/>
  <c r="E47" i="13" s="1"/>
  <c r="F46" i="13"/>
  <c r="F47" i="13"/>
  <c r="D45" i="13"/>
  <c r="E45" i="13"/>
  <c r="F45" i="13"/>
  <c r="G45" i="13"/>
  <c r="D15" i="13"/>
  <c r="D16" i="13" s="1"/>
  <c r="D14" i="13"/>
  <c r="G15" i="13"/>
  <c r="G16" i="13" s="1"/>
  <c r="F15" i="13"/>
  <c r="F16" i="13"/>
  <c r="E15" i="13"/>
  <c r="E16" i="13" s="1"/>
  <c r="C15" i="13"/>
  <c r="C16" i="13" s="1"/>
  <c r="G14" i="13"/>
  <c r="F14" i="13"/>
  <c r="E14" i="13"/>
  <c r="C14" i="13"/>
  <c r="G161" i="12"/>
  <c r="G162" i="12" s="1"/>
  <c r="F161" i="12"/>
  <c r="F162" i="12" s="1"/>
  <c r="E161" i="12"/>
  <c r="E162" i="12" s="1"/>
  <c r="D161" i="12"/>
  <c r="D162" i="12" s="1"/>
  <c r="G160" i="12"/>
  <c r="F160" i="12"/>
  <c r="E160" i="12"/>
  <c r="D160" i="12"/>
  <c r="G130" i="12"/>
  <c r="G131" i="12" s="1"/>
  <c r="F130" i="12"/>
  <c r="F131" i="12" s="1"/>
  <c r="E130" i="12"/>
  <c r="E131" i="12" s="1"/>
  <c r="D130" i="12"/>
  <c r="D131" i="12" s="1"/>
  <c r="G129" i="12"/>
  <c r="F129" i="12"/>
  <c r="E129" i="12"/>
  <c r="D129" i="12"/>
  <c r="F101" i="12"/>
  <c r="F102" i="12" s="1"/>
  <c r="G101" i="12"/>
  <c r="G102" i="12" s="1"/>
  <c r="E101" i="12"/>
  <c r="E102" i="12" s="1"/>
  <c r="D101" i="12"/>
  <c r="D102" i="12" s="1"/>
  <c r="G100" i="12"/>
  <c r="F100" i="12"/>
  <c r="E100" i="12"/>
  <c r="D100" i="12"/>
  <c r="F72" i="12"/>
  <c r="F73" i="12" s="1"/>
  <c r="G72" i="12"/>
  <c r="G73" i="12" s="1"/>
  <c r="E72" i="12"/>
  <c r="E73" i="12" s="1"/>
  <c r="D72" i="12"/>
  <c r="D73" i="12" s="1"/>
  <c r="G71" i="12"/>
  <c r="F71" i="12"/>
  <c r="E71" i="12"/>
  <c r="D71" i="12"/>
  <c r="F43" i="12"/>
  <c r="F44" i="12" s="1"/>
  <c r="G43" i="12"/>
  <c r="G44" i="12" s="1"/>
  <c r="E43" i="12"/>
  <c r="E44" i="12" s="1"/>
  <c r="D43" i="12"/>
  <c r="D44" i="12" s="1"/>
  <c r="G42" i="12"/>
  <c r="F42" i="12"/>
  <c r="E42" i="12"/>
  <c r="D42" i="12"/>
  <c r="E14" i="12"/>
  <c r="E15" i="12" s="1"/>
  <c r="G14" i="12"/>
  <c r="G15" i="12" s="1"/>
  <c r="F14" i="12"/>
  <c r="F15" i="12" s="1"/>
  <c r="D14" i="12"/>
  <c r="D15" i="12" s="1"/>
  <c r="G13" i="12"/>
  <c r="F13" i="12"/>
  <c r="E13" i="12"/>
  <c r="D13" i="12"/>
  <c r="G43" i="11"/>
  <c r="G44" i="11" s="1"/>
  <c r="F43" i="11"/>
  <c r="F44" i="11" s="1"/>
  <c r="E43" i="11"/>
  <c r="E44" i="11" s="1"/>
  <c r="D43" i="11"/>
  <c r="D44" i="11" s="1"/>
  <c r="G42" i="11"/>
  <c r="F42" i="11"/>
  <c r="E42" i="11"/>
  <c r="D42" i="11"/>
  <c r="G15" i="11"/>
  <c r="G16" i="11" s="1"/>
  <c r="F15" i="11"/>
  <c r="F16" i="11" s="1"/>
  <c r="E15" i="11"/>
  <c r="E16" i="11" s="1"/>
  <c r="D15" i="11"/>
  <c r="D16" i="11" s="1"/>
  <c r="G14" i="11"/>
  <c r="F14" i="11"/>
  <c r="E14" i="11"/>
  <c r="D14" i="11"/>
  <c r="K15" i="9"/>
  <c r="Q15" i="9" s="1"/>
  <c r="G14" i="9"/>
  <c r="F14" i="9"/>
  <c r="E14" i="9"/>
  <c r="D14" i="9"/>
  <c r="M17" i="9"/>
  <c r="S17" i="9" s="1"/>
  <c r="L17" i="9"/>
  <c r="R17" i="9" s="1"/>
  <c r="K17" i="9"/>
  <c r="Q17" i="9" s="1"/>
  <c r="J17" i="9"/>
  <c r="P17" i="9" s="1"/>
  <c r="G17" i="9"/>
  <c r="F17" i="9"/>
  <c r="E17" i="9"/>
  <c r="D17" i="9"/>
  <c r="M16" i="9"/>
  <c r="S16" i="9" s="1"/>
  <c r="L16" i="9"/>
  <c r="R16" i="9" s="1"/>
  <c r="K16" i="9"/>
  <c r="Q16" i="9" s="1"/>
  <c r="J16" i="9"/>
  <c r="P16" i="9" s="1"/>
  <c r="G16" i="9"/>
  <c r="F16" i="9"/>
  <c r="E16" i="9"/>
  <c r="D16" i="9"/>
  <c r="M15" i="9"/>
  <c r="S15" i="9" s="1"/>
  <c r="L15" i="9"/>
  <c r="R15" i="9" s="1"/>
  <c r="J15" i="9"/>
  <c r="P15" i="9" s="1"/>
  <c r="G15" i="9"/>
  <c r="F15" i="9"/>
  <c r="E15" i="9"/>
  <c r="D15" i="9"/>
  <c r="M14" i="9"/>
  <c r="S14" i="9" s="1"/>
  <c r="L14" i="9"/>
  <c r="R14" i="9" s="1"/>
  <c r="K14" i="9"/>
  <c r="Q14" i="9" s="1"/>
  <c r="J14" i="9"/>
  <c r="P14" i="9" s="1"/>
  <c r="M16" i="7"/>
  <c r="S16" i="7" s="1"/>
  <c r="K15" i="7"/>
  <c r="Q15" i="7" s="1"/>
  <c r="L15" i="7"/>
  <c r="R15" i="7" s="1"/>
  <c r="M15" i="7"/>
  <c r="S15" i="7" s="1"/>
  <c r="K16" i="7"/>
  <c r="Q16" i="7" s="1"/>
  <c r="L16" i="7"/>
  <c r="R16" i="7" s="1"/>
  <c r="K17" i="7"/>
  <c r="Q17" i="7" s="1"/>
  <c r="L17" i="7"/>
  <c r="R17" i="7" s="1"/>
  <c r="M17" i="7"/>
  <c r="S17" i="7" s="1"/>
  <c r="M14" i="7"/>
  <c r="S14" i="7" s="1"/>
  <c r="L14" i="7"/>
  <c r="R14" i="7" s="1"/>
  <c r="K14" i="7"/>
  <c r="Q14" i="7" s="1"/>
  <c r="J15" i="7"/>
  <c r="P15" i="7" s="1"/>
  <c r="J16" i="7"/>
  <c r="P16" i="7" s="1"/>
  <c r="J17" i="7"/>
  <c r="P17" i="7" s="1"/>
  <c r="J14" i="7"/>
  <c r="P14" i="7" s="1"/>
  <c r="G15" i="7"/>
  <c r="G16" i="7"/>
  <c r="G17" i="7"/>
  <c r="G14" i="7"/>
  <c r="F15" i="7"/>
  <c r="F16" i="7"/>
  <c r="F17" i="7"/>
  <c r="F14" i="7"/>
  <c r="E15" i="7"/>
  <c r="E16" i="7"/>
  <c r="E17" i="7"/>
  <c r="E14" i="7"/>
  <c r="D17" i="7"/>
  <c r="D16" i="7"/>
  <c r="D15" i="7"/>
  <c r="D14" i="7"/>
  <c r="J115" i="6"/>
  <c r="P115" i="6" s="1"/>
  <c r="K115" i="6"/>
  <c r="Q115" i="6" s="1"/>
  <c r="L115" i="6"/>
  <c r="R115" i="6" s="1"/>
  <c r="J116" i="6"/>
  <c r="P116" i="6" s="1"/>
  <c r="K116" i="6"/>
  <c r="Q116" i="6" s="1"/>
  <c r="L116" i="6"/>
  <c r="R116" i="6" s="1"/>
  <c r="J117" i="6"/>
  <c r="P117" i="6" s="1"/>
  <c r="K117" i="6"/>
  <c r="Q117" i="6" s="1"/>
  <c r="L117" i="6"/>
  <c r="R117" i="6" s="1"/>
  <c r="L114" i="6"/>
  <c r="R114" i="6" s="1"/>
  <c r="K114" i="6"/>
  <c r="Q114" i="6" s="1"/>
  <c r="J114" i="6"/>
  <c r="P114" i="6" s="1"/>
  <c r="I117" i="6"/>
  <c r="O117" i="6" s="1"/>
  <c r="I115" i="6"/>
  <c r="O115" i="6" s="1"/>
  <c r="I116" i="6"/>
  <c r="O116" i="6" s="1"/>
  <c r="I114" i="6"/>
  <c r="O114" i="6" s="1"/>
  <c r="F116" i="6"/>
  <c r="F117" i="6"/>
  <c r="F115" i="6"/>
  <c r="F114" i="6"/>
  <c r="E115" i="6"/>
  <c r="E116" i="6"/>
  <c r="E117" i="6"/>
  <c r="E114" i="6"/>
  <c r="D117" i="6"/>
  <c r="D116" i="6"/>
  <c r="D115" i="6"/>
  <c r="D114" i="6"/>
  <c r="C117" i="6"/>
  <c r="C115" i="6"/>
  <c r="C116" i="6"/>
  <c r="C114" i="6"/>
  <c r="L19" i="6"/>
  <c r="R19" i="6" s="1"/>
  <c r="L20" i="6"/>
  <c r="R20" i="6" s="1"/>
  <c r="L21" i="6"/>
  <c r="R21" i="6" s="1"/>
  <c r="K19" i="6"/>
  <c r="Q19" i="6" s="1"/>
  <c r="K20" i="6"/>
  <c r="Q20" i="6" s="1"/>
  <c r="K21" i="6"/>
  <c r="Q21" i="6" s="1"/>
  <c r="J19" i="6"/>
  <c r="P19" i="6" s="1"/>
  <c r="J20" i="6"/>
  <c r="P20" i="6" s="1"/>
  <c r="J21" i="6"/>
  <c r="P21" i="6" s="1"/>
  <c r="I19" i="6"/>
  <c r="O19" i="6" s="1"/>
  <c r="I20" i="6"/>
  <c r="O20" i="6" s="1"/>
  <c r="I21" i="6"/>
  <c r="O21" i="6" s="1"/>
  <c r="K18" i="6"/>
  <c r="Q18" i="6" s="1"/>
  <c r="L18" i="6"/>
  <c r="R18" i="6" s="1"/>
  <c r="J18" i="6"/>
  <c r="P18" i="6" s="1"/>
  <c r="I18" i="6"/>
  <c r="O18" i="6" s="1"/>
  <c r="C18" i="6"/>
  <c r="F19" i="6"/>
  <c r="F20" i="6"/>
  <c r="F21" i="6"/>
  <c r="E19" i="6"/>
  <c r="E20" i="6"/>
  <c r="E21" i="6"/>
  <c r="C19" i="6"/>
  <c r="C20" i="6"/>
  <c r="C21" i="6"/>
  <c r="D21" i="6"/>
  <c r="D20" i="6"/>
  <c r="D19" i="6"/>
  <c r="D18" i="6"/>
  <c r="F18" i="6"/>
  <c r="E18" i="6"/>
  <c r="I19" i="32"/>
  <c r="I20" i="32" s="1"/>
  <c r="F19" i="31"/>
  <c r="F20" i="31" s="1"/>
  <c r="G19" i="31"/>
  <c r="G20" i="31" s="1"/>
  <c r="I18" i="33"/>
  <c r="C30" i="17"/>
  <c r="E21" i="17"/>
  <c r="C21" i="17"/>
  <c r="C19" i="17"/>
  <c r="K25" i="30"/>
  <c r="K26" i="30"/>
  <c r="O25" i="30"/>
  <c r="O26" i="30" s="1"/>
  <c r="O19" i="31"/>
  <c r="O20" i="31" s="1"/>
  <c r="G19" i="33"/>
  <c r="G20" i="33" s="1"/>
  <c r="K18" i="33"/>
  <c r="N16" i="31"/>
  <c r="F19" i="33"/>
  <c r="F20" i="33" s="1"/>
  <c r="H19" i="33"/>
  <c r="H20" i="33" s="1"/>
  <c r="K19" i="33"/>
  <c r="K20" i="33" s="1"/>
  <c r="H25" i="30"/>
  <c r="H26" i="30" s="1"/>
  <c r="N43" i="17"/>
  <c r="N49" i="17" s="1"/>
  <c r="D41" i="17"/>
  <c r="D47" i="17" s="1"/>
  <c r="N42" i="17"/>
  <c r="N48" i="17" s="1"/>
  <c r="N41" i="17"/>
  <c r="N47" i="17" s="1"/>
  <c r="E13" i="17"/>
  <c r="D15" i="17"/>
  <c r="D11" i="17"/>
  <c r="M11" i="17"/>
  <c r="L12" i="17"/>
  <c r="L13" i="17"/>
  <c r="L14" i="17"/>
  <c r="L15" i="17"/>
  <c r="L16" i="17"/>
  <c r="L19" i="17"/>
  <c r="L20" i="17"/>
  <c r="L21" i="17"/>
  <c r="L35" i="17" s="1"/>
  <c r="L24" i="17"/>
  <c r="L25" i="17"/>
  <c r="L26" i="17"/>
  <c r="L29" i="17"/>
  <c r="L37" i="17" s="1"/>
  <c r="L30" i="17"/>
  <c r="L31" i="17"/>
  <c r="R19" i="31"/>
  <c r="R20" i="31" s="1"/>
  <c r="E25" i="17"/>
  <c r="E42" i="17" s="1"/>
  <c r="E48" i="17" s="1"/>
  <c r="D25" i="17"/>
  <c r="E19" i="17"/>
  <c r="E35" i="17" s="1"/>
  <c r="N11" i="17"/>
  <c r="M12" i="17"/>
  <c r="M13" i="17"/>
  <c r="M14" i="17"/>
  <c r="M15" i="17"/>
  <c r="M16" i="17"/>
  <c r="M19" i="17"/>
  <c r="M20" i="17"/>
  <c r="M21" i="17"/>
  <c r="M24" i="17"/>
  <c r="M42" i="17" s="1"/>
  <c r="M48" i="17" s="1"/>
  <c r="M25" i="17"/>
  <c r="M26" i="17"/>
  <c r="M29" i="17"/>
  <c r="M30" i="17"/>
  <c r="M37" i="17" s="1"/>
  <c r="M31" i="17"/>
  <c r="E30" i="17"/>
  <c r="E15" i="17"/>
  <c r="E11" i="17"/>
  <c r="D13" i="17"/>
  <c r="D34" i="17" s="1"/>
  <c r="Q18" i="31"/>
  <c r="K18" i="31"/>
  <c r="O18" i="31"/>
  <c r="Q19" i="31"/>
  <c r="Q20" i="31"/>
  <c r="G24" i="30"/>
  <c r="K24" i="30"/>
  <c r="O24" i="30"/>
  <c r="E25" i="30"/>
  <c r="E26" i="30" s="1"/>
  <c r="M25" i="30"/>
  <c r="M26" i="30" s="1"/>
  <c r="E18" i="32"/>
  <c r="D16" i="31"/>
  <c r="E15" i="31"/>
  <c r="H16" i="31"/>
  <c r="I15" i="31"/>
  <c r="I19" i="31" s="1"/>
  <c r="I20" i="31" s="1"/>
  <c r="J14" i="31"/>
  <c r="L16" i="31"/>
  <c r="L19" i="31" s="1"/>
  <c r="L20" i="31" s="1"/>
  <c r="M15" i="31"/>
  <c r="N14" i="31"/>
  <c r="N18" i="31" s="1"/>
  <c r="D18" i="33"/>
  <c r="H18" i="33"/>
  <c r="D24" i="30"/>
  <c r="P24" i="30"/>
  <c r="I18" i="31"/>
  <c r="L41" i="17"/>
  <c r="L47" i="17" s="1"/>
  <c r="D36" i="17"/>
  <c r="D42" i="17"/>
  <c r="D48" i="17"/>
  <c r="L42" i="17"/>
  <c r="L48" i="17" s="1"/>
  <c r="M35" i="17"/>
  <c r="E18" i="31"/>
  <c r="E19" i="31"/>
  <c r="E20" i="31" s="1"/>
  <c r="M40" i="17"/>
  <c r="M46" i="17" s="1"/>
  <c r="N19" i="31"/>
  <c r="N20" i="31" s="1"/>
  <c r="J18" i="31"/>
  <c r="M43" i="17"/>
  <c r="M49" i="17" s="1"/>
  <c r="N40" i="17" l="1"/>
  <c r="N46" i="17" s="1"/>
  <c r="E37" i="17"/>
  <c r="M41" i="17"/>
  <c r="M47" i="17" s="1"/>
  <c r="L36" i="17"/>
  <c r="E29" i="17"/>
  <c r="E43" i="17" s="1"/>
  <c r="E49" i="17" s="1"/>
  <c r="E36" i="17"/>
  <c r="C36" i="17"/>
  <c r="D35" i="17"/>
  <c r="L40" i="17"/>
  <c r="L46" i="17" s="1"/>
  <c r="L18" i="31"/>
  <c r="C35" i="17"/>
  <c r="D31" i="17"/>
  <c r="C12" i="17"/>
  <c r="E12" i="17"/>
  <c r="E34" i="17" s="1"/>
  <c r="M34" i="17"/>
  <c r="C29" i="17"/>
  <c r="E14" i="17"/>
  <c r="C14" i="17"/>
  <c r="D36" i="25"/>
  <c r="N41" i="25"/>
  <c r="N47" i="25" s="1"/>
  <c r="L42" i="25"/>
  <c r="L48" i="25" s="1"/>
  <c r="N44" i="25"/>
  <c r="N50" i="25" s="1"/>
  <c r="S19" i="31"/>
  <c r="S20" i="31" s="1"/>
  <c r="L25" i="30"/>
  <c r="L26" i="30" s="1"/>
  <c r="D52" i="49"/>
  <c r="D58" i="49" s="1"/>
  <c r="AB16" i="51"/>
  <c r="AC16" i="51"/>
  <c r="F43" i="51"/>
  <c r="AC31" i="51"/>
  <c r="G38" i="51"/>
  <c r="G36" i="51"/>
  <c r="Q51" i="52"/>
  <c r="C59" i="52"/>
  <c r="C65" i="52" s="1"/>
  <c r="C54" i="52"/>
  <c r="C154" i="53"/>
  <c r="C186" i="53" s="1"/>
  <c r="C157" i="53"/>
  <c r="C189" i="53" s="1"/>
  <c r="D165" i="53"/>
  <c r="D197" i="53" s="1"/>
  <c r="C172" i="54"/>
  <c r="C203" i="54" s="1"/>
  <c r="C188" i="54"/>
  <c r="C220" i="54" s="1"/>
  <c r="C174" i="59"/>
  <c r="D195" i="60"/>
  <c r="K121" i="61"/>
  <c r="D286" i="61"/>
  <c r="D114" i="62"/>
  <c r="D42" i="25"/>
  <c r="D48" i="25" s="1"/>
  <c r="D43" i="25"/>
  <c r="D49" i="25" s="1"/>
  <c r="N42" i="25"/>
  <c r="N48" i="25" s="1"/>
  <c r="L44" i="25"/>
  <c r="L50" i="25" s="1"/>
  <c r="D19" i="31"/>
  <c r="D20" i="31" s="1"/>
  <c r="H18" i="31"/>
  <c r="J19" i="31"/>
  <c r="J20" i="31" s="1"/>
  <c r="P18" i="31"/>
  <c r="R18" i="31"/>
  <c r="E18" i="33"/>
  <c r="D50" i="49"/>
  <c r="D56" i="49" s="1"/>
  <c r="T51" i="49"/>
  <c r="T57" i="49" s="1"/>
  <c r="D60" i="50"/>
  <c r="D66" i="50" s="1"/>
  <c r="D57" i="52"/>
  <c r="D63" i="52" s="1"/>
  <c r="Q53" i="52"/>
  <c r="C60" i="52"/>
  <c r="C66" i="52" s="1"/>
  <c r="Q54" i="52"/>
  <c r="C107" i="53"/>
  <c r="D155" i="53"/>
  <c r="D187" i="53" s="1"/>
  <c r="J141" i="54"/>
  <c r="D140" i="54"/>
  <c r="E15" i="55"/>
  <c r="E13" i="55"/>
  <c r="E11" i="55"/>
  <c r="L175" i="59"/>
  <c r="L178" i="59" s="1"/>
  <c r="C196" i="60"/>
  <c r="C199" i="60" s="1"/>
  <c r="E110" i="62"/>
  <c r="E111" i="62"/>
  <c r="N38" i="26"/>
  <c r="L41" i="26"/>
  <c r="L47" i="26" s="1"/>
  <c r="N35" i="25"/>
  <c r="W15" i="27"/>
  <c r="D19" i="33"/>
  <c r="D20" i="33" s="1"/>
  <c r="T49" i="49"/>
  <c r="T55" i="49" s="1"/>
  <c r="E60" i="50"/>
  <c r="E66" i="50" s="1"/>
  <c r="AB31" i="51"/>
  <c r="D38" i="51"/>
  <c r="AC37" i="51"/>
  <c r="C57" i="52"/>
  <c r="C63" i="52" s="1"/>
  <c r="C162" i="53"/>
  <c r="C194" i="53" s="1"/>
  <c r="C165" i="53"/>
  <c r="C197" i="53" s="1"/>
  <c r="D142" i="54"/>
  <c r="C196" i="54"/>
  <c r="C228" i="54" s="1"/>
  <c r="D174" i="59"/>
  <c r="K196" i="60"/>
  <c r="K199" i="60" s="1"/>
  <c r="K55" i="66"/>
  <c r="L80" i="66"/>
  <c r="E41" i="25"/>
  <c r="E47" i="25" s="1"/>
  <c r="C42" i="25"/>
  <c r="C48" i="25" s="1"/>
  <c r="E43" i="25"/>
  <c r="E49" i="25" s="1"/>
  <c r="D44" i="25"/>
  <c r="D50" i="25" s="1"/>
  <c r="E44" i="25"/>
  <c r="E50" i="25" s="1"/>
  <c r="C44" i="25"/>
  <c r="C50" i="25" s="1"/>
  <c r="L41" i="25"/>
  <c r="L47" i="25" s="1"/>
  <c r="L36" i="25"/>
  <c r="M42" i="25"/>
  <c r="M48" i="25" s="1"/>
  <c r="N37" i="25"/>
  <c r="M44" i="25"/>
  <c r="M50" i="25" s="1"/>
  <c r="L38" i="25"/>
  <c r="C36" i="26"/>
  <c r="C38" i="26"/>
  <c r="C41" i="26"/>
  <c r="C47" i="26" s="1"/>
  <c r="E41" i="26"/>
  <c r="E47" i="26" s="1"/>
  <c r="E42" i="26"/>
  <c r="E48" i="26" s="1"/>
  <c r="C43" i="26"/>
  <c r="C49" i="26" s="1"/>
  <c r="D37" i="26"/>
  <c r="E43" i="26"/>
  <c r="E49" i="26" s="1"/>
  <c r="M14" i="31"/>
  <c r="M19" i="31" s="1"/>
  <c r="M20" i="31" s="1"/>
  <c r="G24" i="51"/>
  <c r="G22" i="51"/>
  <c r="E43" i="51"/>
  <c r="G30" i="51"/>
  <c r="Z31" i="51"/>
  <c r="F50" i="51"/>
  <c r="F56" i="51" s="1"/>
  <c r="C58" i="52"/>
  <c r="C64" i="52" s="1"/>
  <c r="C53" i="52"/>
  <c r="J108" i="53"/>
  <c r="D107" i="53"/>
  <c r="D163" i="53"/>
  <c r="D195" i="53" s="1"/>
  <c r="C53" i="55"/>
  <c r="C59" i="55" s="1"/>
  <c r="E33" i="55"/>
  <c r="C27" i="59"/>
  <c r="K122" i="61"/>
  <c r="K125" i="61" s="1"/>
  <c r="J110" i="62"/>
  <c r="K113" i="62"/>
  <c r="K80" i="66"/>
  <c r="D43" i="17"/>
  <c r="D49" i="17" s="1"/>
  <c r="D37" i="17"/>
  <c r="G19" i="32"/>
  <c r="G20" i="32" s="1"/>
  <c r="G18" i="32"/>
  <c r="N34" i="17"/>
  <c r="L24" i="30"/>
  <c r="H18" i="32"/>
  <c r="C34" i="17"/>
  <c r="C42" i="17"/>
  <c r="C48" i="17" s="1"/>
  <c r="E35" i="25"/>
  <c r="C36" i="25"/>
  <c r="M36" i="25"/>
  <c r="E37" i="25"/>
  <c r="C38" i="25"/>
  <c r="M38" i="25"/>
  <c r="L35" i="26"/>
  <c r="M37" i="26"/>
  <c r="E38" i="26"/>
  <c r="L44" i="26"/>
  <c r="L50" i="26" s="1"/>
  <c r="K18" i="32"/>
  <c r="F18" i="32"/>
  <c r="F19" i="32"/>
  <c r="F20" i="32" s="1"/>
  <c r="J18" i="32"/>
  <c r="J19" i="32"/>
  <c r="J20" i="32" s="1"/>
  <c r="F25" i="30"/>
  <c r="F26" i="30" s="1"/>
  <c r="F24" i="30"/>
  <c r="D46" i="49"/>
  <c r="C44" i="49"/>
  <c r="T50" i="49"/>
  <c r="T56" i="49" s="1"/>
  <c r="T44" i="49"/>
  <c r="T52" i="49"/>
  <c r="T58" i="49" s="1"/>
  <c r="T46" i="49"/>
  <c r="C37" i="50"/>
  <c r="C60" i="50" s="1"/>
  <c r="C66" i="50" s="1"/>
  <c r="I56" i="50"/>
  <c r="D61" i="50"/>
  <c r="D67" i="50" s="1"/>
  <c r="D55" i="50"/>
  <c r="AA24" i="51"/>
  <c r="AC24" i="51"/>
  <c r="AB24" i="51"/>
  <c r="AB48" i="51" s="1"/>
  <c r="AB54" i="51" s="1"/>
  <c r="Z24" i="51"/>
  <c r="D59" i="52"/>
  <c r="D65" i="52" s="1"/>
  <c r="D53" i="52"/>
  <c r="D40" i="17"/>
  <c r="D46" i="17" s="1"/>
  <c r="L43" i="17"/>
  <c r="L49" i="17" s="1"/>
  <c r="E41" i="17"/>
  <c r="E47" i="17" s="1"/>
  <c r="L34" i="17"/>
  <c r="S18" i="31"/>
  <c r="M36" i="17"/>
  <c r="D18" i="31"/>
  <c r="D18" i="32"/>
  <c r="P19" i="31"/>
  <c r="P20" i="31" s="1"/>
  <c r="C41" i="17"/>
  <c r="C47" i="17" s="1"/>
  <c r="L35" i="25"/>
  <c r="D38" i="25"/>
  <c r="N38" i="25"/>
  <c r="D41" i="25"/>
  <c r="D47" i="25" s="1"/>
  <c r="N43" i="25"/>
  <c r="N49" i="25" s="1"/>
  <c r="C35" i="26"/>
  <c r="M35" i="26"/>
  <c r="L36" i="26"/>
  <c r="N37" i="26"/>
  <c r="K19" i="31"/>
  <c r="K20" i="31" s="1"/>
  <c r="H24" i="30"/>
  <c r="I24" i="30"/>
  <c r="I25" i="30"/>
  <c r="I26" i="30" s="1"/>
  <c r="D44" i="49"/>
  <c r="T43" i="49"/>
  <c r="D58" i="50"/>
  <c r="D64" i="50" s="1"/>
  <c r="D52" i="50"/>
  <c r="C59" i="50"/>
  <c r="C65" i="50" s="1"/>
  <c r="E59" i="50"/>
  <c r="E65" i="50" s="1"/>
  <c r="E53" i="50"/>
  <c r="E47" i="55"/>
  <c r="E53" i="55"/>
  <c r="E59" i="55" s="1"/>
  <c r="N25" i="30"/>
  <c r="N26" i="30" s="1"/>
  <c r="N24" i="30"/>
  <c r="C45" i="49"/>
  <c r="C51" i="49"/>
  <c r="C57" i="49" s="1"/>
  <c r="C47" i="49"/>
  <c r="C53" i="49"/>
  <c r="C59" i="49" s="1"/>
  <c r="G48" i="51"/>
  <c r="G54" i="51" s="1"/>
  <c r="G42" i="51"/>
  <c r="AC36" i="51"/>
  <c r="AA36" i="51"/>
  <c r="Z36" i="51"/>
  <c r="AK47" i="51"/>
  <c r="H19" i="31"/>
  <c r="H20" i="31" s="1"/>
  <c r="J19" i="33"/>
  <c r="J20" i="33" s="1"/>
  <c r="D36" i="26"/>
  <c r="N36" i="26"/>
  <c r="Q25" i="30"/>
  <c r="Q26" i="30" s="1"/>
  <c r="S43" i="49"/>
  <c r="S49" i="49"/>
  <c r="S55" i="49" s="1"/>
  <c r="S45" i="49"/>
  <c r="S51" i="49"/>
  <c r="S57" i="49" s="1"/>
  <c r="C52" i="50"/>
  <c r="C58" i="50"/>
  <c r="C64" i="50" s="1"/>
  <c r="E52" i="50"/>
  <c r="E58" i="50"/>
  <c r="E64" i="50" s="1"/>
  <c r="D53" i="50"/>
  <c r="D59" i="50"/>
  <c r="D65" i="50" s="1"/>
  <c r="G49" i="51"/>
  <c r="G55" i="51" s="1"/>
  <c r="G43" i="51"/>
  <c r="C173" i="54"/>
  <c r="C204" i="54" s="1"/>
  <c r="C141" i="54"/>
  <c r="C142" i="54"/>
  <c r="C158" i="54"/>
  <c r="C189" i="54"/>
  <c r="C221" i="54" s="1"/>
  <c r="AB15" i="51"/>
  <c r="AA15" i="51"/>
  <c r="Z15" i="51"/>
  <c r="AC15" i="51"/>
  <c r="D49" i="51"/>
  <c r="D55" i="51" s="1"/>
  <c r="AB30" i="51"/>
  <c r="AB43" i="51" s="1"/>
  <c r="AK46" i="51"/>
  <c r="AC30" i="51"/>
  <c r="Z30" i="51"/>
  <c r="Z43" i="51" s="1"/>
  <c r="Q52" i="52"/>
  <c r="D60" i="52"/>
  <c r="D66" i="52" s="1"/>
  <c r="D54" i="52"/>
  <c r="J107" i="53"/>
  <c r="C150" i="54"/>
  <c r="C181" i="54"/>
  <c r="C213" i="54" s="1"/>
  <c r="C166" i="54"/>
  <c r="C197" i="54"/>
  <c r="C229" i="54" s="1"/>
  <c r="E24" i="55"/>
  <c r="D24" i="55"/>
  <c r="L50" i="55"/>
  <c r="C54" i="50"/>
  <c r="G14" i="51"/>
  <c r="E14" i="51"/>
  <c r="AC17" i="51"/>
  <c r="AB17" i="51"/>
  <c r="AA17" i="51"/>
  <c r="Z17" i="51"/>
  <c r="F48" i="51"/>
  <c r="F54" i="51" s="1"/>
  <c r="AB42" i="51"/>
  <c r="AC22" i="51"/>
  <c r="AA22" i="51"/>
  <c r="AK45" i="51"/>
  <c r="Z22" i="51"/>
  <c r="AA30" i="51"/>
  <c r="AA43" i="51" s="1"/>
  <c r="F44" i="51"/>
  <c r="D51" i="52"/>
  <c r="C52" i="52"/>
  <c r="D58" i="52"/>
  <c r="D64" i="52" s="1"/>
  <c r="R58" i="52"/>
  <c r="R64" i="52" s="1"/>
  <c r="R60" i="52"/>
  <c r="R66" i="52" s="1"/>
  <c r="R54" i="52"/>
  <c r="D118" i="53"/>
  <c r="D139" i="53"/>
  <c r="D170" i="53" s="1"/>
  <c r="C163" i="53"/>
  <c r="C195" i="53" s="1"/>
  <c r="C132" i="53"/>
  <c r="D148" i="54"/>
  <c r="D179" i="54"/>
  <c r="D211" i="54" s="1"/>
  <c r="D164" i="54"/>
  <c r="D195" i="54"/>
  <c r="D227" i="54" s="1"/>
  <c r="U10" i="55"/>
  <c r="T10" i="55"/>
  <c r="S10" i="55"/>
  <c r="G16" i="51"/>
  <c r="F16" i="51"/>
  <c r="D16" i="51"/>
  <c r="G12" i="51"/>
  <c r="F12" i="51"/>
  <c r="D12" i="51"/>
  <c r="AK44" i="51"/>
  <c r="AC13" i="51"/>
  <c r="AB13" i="51"/>
  <c r="AB41" i="51" s="1"/>
  <c r="AA13" i="51"/>
  <c r="AA41" i="51" s="1"/>
  <c r="Z13" i="51"/>
  <c r="Z41" i="51" s="1"/>
  <c r="G50" i="51"/>
  <c r="G56" i="51" s="1"/>
  <c r="G44" i="51"/>
  <c r="AA38" i="51"/>
  <c r="AC38" i="51"/>
  <c r="AB38" i="51"/>
  <c r="AB44" i="51" s="1"/>
  <c r="C51" i="52"/>
  <c r="R57" i="52"/>
  <c r="R63" i="52" s="1"/>
  <c r="D52" i="52"/>
  <c r="R59" i="52"/>
  <c r="R65" i="52" s="1"/>
  <c r="J109" i="53"/>
  <c r="C155" i="53"/>
  <c r="C187" i="53" s="1"/>
  <c r="C124" i="53"/>
  <c r="J143" i="54"/>
  <c r="D156" i="54"/>
  <c r="D187" i="54"/>
  <c r="D219" i="54" s="1"/>
  <c r="E24" i="51"/>
  <c r="E48" i="51" s="1"/>
  <c r="E54" i="51" s="1"/>
  <c r="E38" i="51"/>
  <c r="E50" i="51" s="1"/>
  <c r="E56" i="51" s="1"/>
  <c r="D115" i="53"/>
  <c r="D117" i="53"/>
  <c r="C140" i="53"/>
  <c r="C171" i="53" s="1"/>
  <c r="C141" i="53"/>
  <c r="C172" i="53" s="1"/>
  <c r="C146" i="53"/>
  <c r="C178" i="53" s="1"/>
  <c r="C147" i="53"/>
  <c r="C179" i="53" s="1"/>
  <c r="C148" i="53"/>
  <c r="C180" i="53" s="1"/>
  <c r="C149" i="53"/>
  <c r="C181" i="53" s="1"/>
  <c r="C156" i="53"/>
  <c r="C188" i="53" s="1"/>
  <c r="C164" i="53"/>
  <c r="C196" i="53" s="1"/>
  <c r="C140" i="54"/>
  <c r="D173" i="54"/>
  <c r="D204" i="54" s="1"/>
  <c r="D141" i="54"/>
  <c r="C174" i="54"/>
  <c r="C205" i="54" s="1"/>
  <c r="C148" i="54"/>
  <c r="C179" i="54"/>
  <c r="C211" i="54" s="1"/>
  <c r="D150" i="54"/>
  <c r="D181" i="54"/>
  <c r="D213" i="54" s="1"/>
  <c r="C182" i="54"/>
  <c r="C214" i="54" s="1"/>
  <c r="C156" i="54"/>
  <c r="C187" i="54"/>
  <c r="C219" i="54" s="1"/>
  <c r="D158" i="54"/>
  <c r="D189" i="54"/>
  <c r="D221" i="54" s="1"/>
  <c r="C190" i="54"/>
  <c r="C222" i="54" s="1"/>
  <c r="C164" i="54"/>
  <c r="C195" i="54"/>
  <c r="C227" i="54" s="1"/>
  <c r="D166" i="54"/>
  <c r="D197" i="54"/>
  <c r="D229" i="54" s="1"/>
  <c r="C198" i="54"/>
  <c r="C230" i="54" s="1"/>
  <c r="U15" i="55"/>
  <c r="T15" i="55"/>
  <c r="S15" i="55"/>
  <c r="U41" i="55"/>
  <c r="T41" i="55"/>
  <c r="T50" i="55" s="1"/>
  <c r="S41" i="55"/>
  <c r="L195" i="60"/>
  <c r="L196" i="60"/>
  <c r="L199" i="60" s="1"/>
  <c r="E17" i="51"/>
  <c r="E13" i="51"/>
  <c r="E47" i="51" s="1"/>
  <c r="D15" i="51"/>
  <c r="F15" i="51"/>
  <c r="C109" i="53"/>
  <c r="C116" i="53"/>
  <c r="C118" i="53"/>
  <c r="C126" i="53"/>
  <c r="C134" i="53"/>
  <c r="C47" i="55"/>
  <c r="T53" i="55"/>
  <c r="T59" i="55" s="1"/>
  <c r="U24" i="55"/>
  <c r="T24" i="55"/>
  <c r="S24" i="55"/>
  <c r="E31" i="55"/>
  <c r="L51" i="55"/>
  <c r="C41" i="55"/>
  <c r="E41" i="55"/>
  <c r="E50" i="55" s="1"/>
  <c r="L52" i="55"/>
  <c r="D41" i="55"/>
  <c r="D56" i="55" s="1"/>
  <c r="D62" i="55" s="1"/>
  <c r="T32" i="55"/>
  <c r="S32" i="55"/>
  <c r="S49" i="55" s="1"/>
  <c r="E175" i="59"/>
  <c r="E178" i="59" s="1"/>
  <c r="E174" i="59"/>
  <c r="K175" i="59"/>
  <c r="K178" i="59" s="1"/>
  <c r="K177" i="59"/>
  <c r="K174" i="59"/>
  <c r="F17" i="51"/>
  <c r="F13" i="51"/>
  <c r="J142" i="54"/>
  <c r="D53" i="55"/>
  <c r="D59" i="55" s="1"/>
  <c r="D47" i="55"/>
  <c r="T56" i="55"/>
  <c r="T62" i="55" s="1"/>
  <c r="D121" i="61"/>
  <c r="D122" i="61"/>
  <c r="D125" i="61" s="1"/>
  <c r="I121" i="61"/>
  <c r="S11" i="55"/>
  <c r="D25" i="55"/>
  <c r="E23" i="55"/>
  <c r="E48" i="55" s="1"/>
  <c r="D23" i="55"/>
  <c r="U23" i="55"/>
  <c r="U43" i="55"/>
  <c r="U50" i="55" s="1"/>
  <c r="S43" i="55"/>
  <c r="M175" i="59"/>
  <c r="M178" i="59" s="1"/>
  <c r="D28" i="60"/>
  <c r="D31" i="60" s="1"/>
  <c r="D27" i="60"/>
  <c r="E287" i="61"/>
  <c r="E290" i="61" s="1"/>
  <c r="E286" i="61"/>
  <c r="K114" i="62"/>
  <c r="E32" i="55"/>
  <c r="D32" i="55"/>
  <c r="D55" i="55" s="1"/>
  <c r="D61" i="55" s="1"/>
  <c r="D28" i="59"/>
  <c r="D31" i="59" s="1"/>
  <c r="D27" i="59"/>
  <c r="D175" i="59"/>
  <c r="D178" i="59" s="1"/>
  <c r="F175" i="59"/>
  <c r="F178" i="59" s="1"/>
  <c r="L177" i="59"/>
  <c r="L174" i="59"/>
  <c r="M177" i="59"/>
  <c r="E195" i="60"/>
  <c r="F195" i="60"/>
  <c r="F196" i="60"/>
  <c r="F199" i="60" s="1"/>
  <c r="K124" i="61"/>
  <c r="E122" i="61"/>
  <c r="E125" i="61" s="1"/>
  <c r="J121" i="61"/>
  <c r="I287" i="61"/>
  <c r="I290" i="61" s="1"/>
  <c r="J286" i="61"/>
  <c r="J287" i="61"/>
  <c r="J290" i="61" s="1"/>
  <c r="C287" i="61"/>
  <c r="C290" i="61" s="1"/>
  <c r="C286" i="61"/>
  <c r="D50" i="55"/>
  <c r="S9" i="55"/>
  <c r="T23" i="55"/>
  <c r="T54" i="55" s="1"/>
  <c r="T60" i="55" s="1"/>
  <c r="C32" i="55"/>
  <c r="C55" i="55" s="1"/>
  <c r="C61" i="55" s="1"/>
  <c r="E34" i="55"/>
  <c r="C34" i="55"/>
  <c r="T33" i="55"/>
  <c r="T55" i="55" s="1"/>
  <c r="T61" i="55" s="1"/>
  <c r="U33" i="55"/>
  <c r="U55" i="55" s="1"/>
  <c r="U61" i="55" s="1"/>
  <c r="C43" i="55"/>
  <c r="F174" i="59"/>
  <c r="J177" i="59"/>
  <c r="J174" i="59"/>
  <c r="J175" i="59"/>
  <c r="J178" i="59" s="1"/>
  <c r="D196" i="60"/>
  <c r="D199" i="60" s="1"/>
  <c r="J196" i="60"/>
  <c r="J199" i="60" s="1"/>
  <c r="J195" i="60"/>
  <c r="C27" i="60"/>
  <c r="C28" i="60"/>
  <c r="C31" i="60" s="1"/>
  <c r="I122" i="61"/>
  <c r="I125" i="61" s="1"/>
  <c r="J124" i="61"/>
  <c r="J122" i="61"/>
  <c r="J125" i="61" s="1"/>
  <c r="C121" i="61"/>
  <c r="E196" i="60"/>
  <c r="E199" i="60" s="1"/>
  <c r="C122" i="61"/>
  <c r="C125" i="61" s="1"/>
  <c r="M174" i="59"/>
  <c r="K195" i="60"/>
  <c r="I124" i="61"/>
  <c r="I286" i="61"/>
  <c r="D112" i="62"/>
  <c r="J112" i="62"/>
  <c r="U49" i="55" l="1"/>
  <c r="E44" i="51"/>
  <c r="AA47" i="51"/>
  <c r="AA53" i="51" s="1"/>
  <c r="Z49" i="51"/>
  <c r="Z55" i="51" s="1"/>
  <c r="D50" i="51"/>
  <c r="D56" i="51" s="1"/>
  <c r="D44" i="51"/>
  <c r="C40" i="17"/>
  <c r="C46" i="17" s="1"/>
  <c r="C43" i="17"/>
  <c r="C49" i="17" s="1"/>
  <c r="C37" i="17"/>
  <c r="E40" i="17"/>
  <c r="E46" i="17" s="1"/>
  <c r="C49" i="55"/>
  <c r="T48" i="55"/>
  <c r="E42" i="51"/>
  <c r="AB50" i="51"/>
  <c r="AB56" i="51" s="1"/>
  <c r="M18" i="31"/>
  <c r="C56" i="55"/>
  <c r="C62" i="55" s="1"/>
  <c r="C50" i="55"/>
  <c r="S50" i="55"/>
  <c r="F41" i="51"/>
  <c r="F47" i="51"/>
  <c r="F53" i="51" s="1"/>
  <c r="AA44" i="51"/>
  <c r="AA50" i="51"/>
  <c r="AA56" i="51" s="1"/>
  <c r="U48" i="55"/>
  <c r="U54" i="55"/>
  <c r="U60" i="55" s="1"/>
  <c r="U56" i="55"/>
  <c r="U62" i="55" s="1"/>
  <c r="D49" i="55"/>
  <c r="AB49" i="51"/>
  <c r="AB55" i="51" s="1"/>
  <c r="AB47" i="51"/>
  <c r="AB53" i="51" s="1"/>
  <c r="Z47" i="51"/>
  <c r="Z53" i="51" s="1"/>
  <c r="AA49" i="51"/>
  <c r="AA55" i="51" s="1"/>
  <c r="E41" i="51"/>
  <c r="S53" i="55"/>
  <c r="S59" i="55" s="1"/>
  <c r="S47" i="55"/>
  <c r="E54" i="55"/>
  <c r="E60" i="55" s="1"/>
  <c r="U53" i="55"/>
  <c r="U59" i="55" s="1"/>
  <c r="U47" i="55"/>
  <c r="AC42" i="51"/>
  <c r="AC48" i="51"/>
  <c r="AC54" i="51" s="1"/>
  <c r="D48" i="55"/>
  <c r="D54" i="55"/>
  <c r="D60" i="55" s="1"/>
  <c r="T49" i="55"/>
  <c r="E55" i="55"/>
  <c r="E61" i="55" s="1"/>
  <c r="E49" i="55"/>
  <c r="S56" i="55"/>
  <c r="S62" i="55" s="1"/>
  <c r="D47" i="51"/>
  <c r="D53" i="51" s="1"/>
  <c r="D41" i="51"/>
  <c r="T47" i="55"/>
  <c r="AA42" i="51"/>
  <c r="AA48" i="51"/>
  <c r="AA54" i="51" s="1"/>
  <c r="AC43" i="51"/>
  <c r="AC49" i="51"/>
  <c r="AC55" i="51" s="1"/>
  <c r="E56" i="55"/>
  <c r="E62" i="55" s="1"/>
  <c r="Z44" i="51"/>
  <c r="Z50" i="51"/>
  <c r="Z56" i="51" s="1"/>
  <c r="S48" i="55"/>
  <c r="S54" i="55"/>
  <c r="S60" i="55" s="1"/>
  <c r="AC41" i="51"/>
  <c r="AC47" i="51"/>
  <c r="AC53" i="51" s="1"/>
  <c r="G41" i="51"/>
  <c r="G47" i="51"/>
  <c r="G53" i="51" s="1"/>
  <c r="S55" i="55"/>
  <c r="S61" i="55" s="1"/>
  <c r="Z48" i="51"/>
  <c r="Z54" i="51" s="1"/>
  <c r="Z42" i="51"/>
  <c r="AC50" i="51"/>
  <c r="AC56" i="51" s="1"/>
  <c r="AC44" i="51"/>
</calcChain>
</file>

<file path=xl/sharedStrings.xml><?xml version="1.0" encoding="utf-8"?>
<sst xmlns="http://schemas.openxmlformats.org/spreadsheetml/2006/main" count="10596" uniqueCount="1187">
  <si>
    <t>F</t>
  </si>
  <si>
    <t>CTRL</t>
  </si>
  <si>
    <t>HLHS1</t>
  </si>
  <si>
    <t>HLHS2</t>
  </si>
  <si>
    <t>HLHS3</t>
  </si>
  <si>
    <t>Adjusted P Value</t>
  </si>
  <si>
    <t>CTRL vs. HLHS1</t>
  </si>
  <si>
    <t>CTRL vs. HLHS2</t>
  </si>
  <si>
    <t>CTRL vs. HLHS3</t>
  </si>
  <si>
    <t>ns</t>
  </si>
  <si>
    <t>***</t>
  </si>
  <si>
    <t>**</t>
  </si>
  <si>
    <t>*</t>
  </si>
  <si>
    <t>ST DEV</t>
  </si>
  <si>
    <t>SEM</t>
  </si>
  <si>
    <t>TBX5</t>
  </si>
  <si>
    <t>day0</t>
  </si>
  <si>
    <t>day1</t>
  </si>
  <si>
    <t>day2</t>
  </si>
  <si>
    <t>day3</t>
  </si>
  <si>
    <t>ISL1</t>
  </si>
  <si>
    <t>day 0</t>
  </si>
  <si>
    <t>day 1</t>
  </si>
  <si>
    <t>day 2</t>
  </si>
  <si>
    <t>day 3</t>
  </si>
  <si>
    <t>ATF6</t>
  </si>
  <si>
    <t>ATG3</t>
  </si>
  <si>
    <t>ATG12</t>
  </si>
  <si>
    <t>PERK</t>
  </si>
  <si>
    <t>sXBP1</t>
  </si>
  <si>
    <t>CTRL vs. CTRL + CQ</t>
  </si>
  <si>
    <t>CTRL+CQ</t>
  </si>
  <si>
    <t>n1</t>
  </si>
  <si>
    <t>n2</t>
  </si>
  <si>
    <t>n3</t>
  </si>
  <si>
    <t>n4</t>
  </si>
  <si>
    <t>P value</t>
  </si>
  <si>
    <t>P value summary</t>
  </si>
  <si>
    <t>Geisser-Greenhouse's epsilon</t>
  </si>
  <si>
    <t>Time</t>
  </si>
  <si>
    <t>&lt;0,001</t>
  </si>
  <si>
    <t>Yes</t>
  </si>
  <si>
    <t>Column Factor</t>
  </si>
  <si>
    <t>Time x Column Factor</t>
  </si>
  <si>
    <t>Dunnett's multiple comparisons test</t>
  </si>
  <si>
    <t>Mean Diff,</t>
  </si>
  <si>
    <t>95,00% CI of diff,</t>
  </si>
  <si>
    <t>Significant?</t>
  </si>
  <si>
    <t>Summary</t>
  </si>
  <si>
    <t>No</t>
  </si>
  <si>
    <t>&gt;0,99</t>
  </si>
  <si>
    <t>AVG</t>
  </si>
  <si>
    <t>Statistical analysis (Prism_Graph Pad)</t>
  </si>
  <si>
    <t>One-way ANOVA</t>
  </si>
  <si>
    <t>Significant diff. among means (P &lt; 0.05)?</t>
  </si>
  <si>
    <t>R square</t>
  </si>
  <si>
    <t>Two-way ANOVA</t>
  </si>
  <si>
    <t>AVG day 1</t>
  </si>
  <si>
    <t>AVG day 0</t>
  </si>
  <si>
    <t>AVG day 2</t>
  </si>
  <si>
    <t>AVG day 3</t>
  </si>
  <si>
    <t>ST DEV day 0</t>
  </si>
  <si>
    <t>ST DEV day 1</t>
  </si>
  <si>
    <t>ST DEV day 2</t>
  </si>
  <si>
    <t>ST DEV day 3</t>
  </si>
  <si>
    <t>SEM day 0</t>
  </si>
  <si>
    <t>SEM day 1</t>
  </si>
  <si>
    <t>SEM day 2</t>
  </si>
  <si>
    <t>SEM day 3</t>
  </si>
  <si>
    <t>Source of Variation</t>
  </si>
  <si>
    <t>% of total variation</t>
  </si>
  <si>
    <t>Subject</t>
  </si>
  <si>
    <t>187,2 to 886,7</t>
  </si>
  <si>
    <t>288,2 to 933,8</t>
  </si>
  <si>
    <t>136,6 to 780,6</t>
  </si>
  <si>
    <t>-917,6 to 2117</t>
  </si>
  <si>
    <t>-936,5 to 2122</t>
  </si>
  <si>
    <t>-2110 to 1863</t>
  </si>
  <si>
    <t>-1727 to 3308</t>
  </si>
  <si>
    <t>-1031 to 3974</t>
  </si>
  <si>
    <t>-2217 to 3584</t>
  </si>
  <si>
    <t>n5</t>
  </si>
  <si>
    <t>-6,172 to 14,58</t>
  </si>
  <si>
    <t>-4,790 to 16,14</t>
  </si>
  <si>
    <t>-4,707 to 16,24</t>
  </si>
  <si>
    <t>0,4515 to 17,12</t>
  </si>
  <si>
    <t>0,7233 to 17,44</t>
  </si>
  <si>
    <t>0,4932 to 17,10</t>
  </si>
  <si>
    <t>4,305 to 36,55</t>
  </si>
  <si>
    <t>4,292 to 37,19</t>
  </si>
  <si>
    <t>2,422 to 35,25</t>
  </si>
  <si>
    <t>Cleaved Casp3</t>
  </si>
  <si>
    <t>-3,678 to 2,345</t>
  </si>
  <si>
    <t>-3,042 to 2,109</t>
  </si>
  <si>
    <t>-1,989 to 1,262</t>
  </si>
  <si>
    <t>-0,4903 to 0,5303</t>
  </si>
  <si>
    <t>-2,596 to 0,8961</t>
  </si>
  <si>
    <t>-0,8796 to 0,9596</t>
  </si>
  <si>
    <t>-2,457 to 4,117</t>
  </si>
  <si>
    <t>-2,211 to 4,411</t>
  </si>
  <si>
    <t>-2,004 to 3,284</t>
  </si>
  <si>
    <t>-4,637 to 6,364</t>
  </si>
  <si>
    <t>-3,478 to 5,004</t>
  </si>
  <si>
    <t>-3,255 to 5,262</t>
  </si>
  <si>
    <t>% of positive cells</t>
  </si>
  <si>
    <t>EdU staining</t>
  </si>
  <si>
    <t>-14,11 to 27,23</t>
  </si>
  <si>
    <t>-9,162 to 22,68</t>
  </si>
  <si>
    <t>-19,64 to 33,03</t>
  </si>
  <si>
    <t>-4,701 to 7,368</t>
  </si>
  <si>
    <t>-5,900 to 6,900</t>
  </si>
  <si>
    <t>-22,60 to 28,60</t>
  </si>
  <si>
    <t>-21,79 to -13,55</t>
  </si>
  <si>
    <t>-31,34 to -1,994</t>
  </si>
  <si>
    <t>-26,83 to -11,17</t>
  </si>
  <si>
    <t>-15,73 to 11,53</t>
  </si>
  <si>
    <t>-24,65 to 8,145</t>
  </si>
  <si>
    <t>-18,62 to 12,96</t>
  </si>
  <si>
    <t>Autophagy activity factor</t>
  </si>
  <si>
    <t>Basal levels</t>
  </si>
  <si>
    <t>-23,22 to 27,38</t>
  </si>
  <si>
    <t>-33,57 to 17,04</t>
  </si>
  <si>
    <t>-21,74 to 28,86</t>
  </si>
  <si>
    <t>2,264 to 24,75</t>
  </si>
  <si>
    <t>0,001482 to 22,48</t>
  </si>
  <si>
    <t>5,503 to 27,98</t>
  </si>
  <si>
    <t>Delta (starvation/basal levels)</t>
  </si>
  <si>
    <t>TotXBP1</t>
  </si>
  <si>
    <t>-0,3148 to 0,3948</t>
  </si>
  <si>
    <t>-0,4000 to 0,3934</t>
  </si>
  <si>
    <t>-0,4483 to 0,2613</t>
  </si>
  <si>
    <t>-0,8343 to 0,6835</t>
  </si>
  <si>
    <t>-0,8310 to 0,8660</t>
  </si>
  <si>
    <t>-0,4686 to 1,049</t>
  </si>
  <si>
    <t>-0,5155 to 0,5438</t>
  </si>
  <si>
    <t>-0,5324 to 0,6520</t>
  </si>
  <si>
    <t>-0,3553 to 0,7041</t>
  </si>
  <si>
    <t>-0,6144 to 0,6645</t>
  </si>
  <si>
    <t>-0,6089 to 0,8211</t>
  </si>
  <si>
    <t>-0,5391 to 0,7398</t>
  </si>
  <si>
    <t>0,05742 to 0,4337</t>
  </si>
  <si>
    <t>0,02869 to 0,4494</t>
  </si>
  <si>
    <t>0,05173 to 0,4280</t>
  </si>
  <si>
    <t>0,03586 to 0,5179</t>
  </si>
  <si>
    <t>0,09311 to 0,6454</t>
  </si>
  <si>
    <t>0,02555 to 0,5076</t>
  </si>
  <si>
    <t>Cells in G1</t>
  </si>
  <si>
    <t>n1 (%)</t>
  </si>
  <si>
    <t>n2 (%)</t>
  </si>
  <si>
    <t>n3 (%)</t>
  </si>
  <si>
    <t>12,58 to 35,42</t>
  </si>
  <si>
    <t>23,51 to 46,35</t>
  </si>
  <si>
    <t>20,38 to 45,91</t>
  </si>
  <si>
    <t>17,53 to 40,37</t>
  </si>
  <si>
    <t>9,037 to 38,20</t>
  </si>
  <si>
    <t>8,065 to 37,23</t>
  </si>
  <si>
    <t>9,375 to 38,54</t>
  </si>
  <si>
    <t>6,974 to 36,14</t>
  </si>
  <si>
    <t>-1768 to 2238</t>
  </si>
  <si>
    <t>-1373 to 2954</t>
  </si>
  <si>
    <t>-691,7 to 3635</t>
  </si>
  <si>
    <t>-1480 to 2847</t>
  </si>
  <si>
    <t xml:space="preserve">cell </t>
  </si>
  <si>
    <t>experiment</t>
  </si>
  <si>
    <t>ANOVA summary</t>
  </si>
  <si>
    <t>-0,3913 to 1,005</t>
  </si>
  <si>
    <t>-0,4503 to 0,9461</t>
  </si>
  <si>
    <t>-0,2549 to 1,141</t>
  </si>
  <si>
    <t>Fold pEIF2a after BreFA-treatment (Western blot)</t>
  </si>
  <si>
    <t>n6</t>
  </si>
  <si>
    <t>n7</t>
  </si>
  <si>
    <t>n8</t>
  </si>
  <si>
    <t>n9</t>
  </si>
  <si>
    <t>0,3405 to 1,166</t>
  </si>
  <si>
    <t>0,4202 to 1,124</t>
  </si>
  <si>
    <t>0,5592 to 1,384</t>
  </si>
  <si>
    <t>&lt;0,0001</t>
  </si>
  <si>
    <t>****</t>
  </si>
  <si>
    <t>NKX2-5</t>
  </si>
  <si>
    <t>percentages</t>
  </si>
  <si>
    <t>cell numbers</t>
  </si>
  <si>
    <t>d30</t>
  </si>
  <si>
    <t>% MLC2a+</t>
  </si>
  <si>
    <t>% MLC2v+</t>
  </si>
  <si>
    <t>% MLC2a+/v+</t>
  </si>
  <si>
    <t>d60</t>
  </si>
  <si>
    <t>MLC2a+</t>
  </si>
  <si>
    <t>MLC2v+</t>
  </si>
  <si>
    <t>MLC2a+/v+</t>
  </si>
  <si>
    <t>CTR n1</t>
  </si>
  <si>
    <t>CTR n2</t>
  </si>
  <si>
    <t>CTR n3</t>
  </si>
  <si>
    <t>CTR n4</t>
  </si>
  <si>
    <t>CTR n5</t>
  </si>
  <si>
    <t>HLHS1 n1</t>
  </si>
  <si>
    <t>HLHS1 n2</t>
  </si>
  <si>
    <t>HLHS1 n3</t>
  </si>
  <si>
    <t>HLHS2 n1</t>
  </si>
  <si>
    <t>HLHS2 n2</t>
  </si>
  <si>
    <t>HLHS2 n3</t>
  </si>
  <si>
    <t>HLHS3 n1</t>
  </si>
  <si>
    <t>HLHS3 n2</t>
  </si>
  <si>
    <t>HLHS3 n3</t>
  </si>
  <si>
    <t>CTR</t>
  </si>
  <si>
    <t>d30 total CMs numbers</t>
  </si>
  <si>
    <t>d60 total CMs numbers</t>
  </si>
  <si>
    <t>one-way ANOVA</t>
  </si>
  <si>
    <t>CTR vs. HLHS1</t>
  </si>
  <si>
    <t>CTR vs. HLHS2</t>
  </si>
  <si>
    <t>CTR vs. HLHS3</t>
  </si>
  <si>
    <t>d30 MLC2a+</t>
  </si>
  <si>
    <t>d60 MLC2a+</t>
  </si>
  <si>
    <t>-79,74 to -40,81</t>
  </si>
  <si>
    <t>-73,81 to -44,96</t>
  </si>
  <si>
    <t>-21,92 to 17,01</t>
  </si>
  <si>
    <t>-21,42 to 7,428</t>
  </si>
  <si>
    <t>-34,87 to 4,062</t>
  </si>
  <si>
    <t>-17,63 to 11,21</t>
  </si>
  <si>
    <t>d30 MLC2v+</t>
  </si>
  <si>
    <t>d60 MLC2v+</t>
  </si>
  <si>
    <t>34,07 to 69,27</t>
  </si>
  <si>
    <t>40,59 to 76,06</t>
  </si>
  <si>
    <t>22,01 to 57,22</t>
  </si>
  <si>
    <t>36,68 to 72,15</t>
  </si>
  <si>
    <t>29,57 to 64,78</t>
  </si>
  <si>
    <t>36,10 to 71,57</t>
  </si>
  <si>
    <t>d30 MLC2a+/v+</t>
  </si>
  <si>
    <t>d60 MLC2a+/v+</t>
  </si>
  <si>
    <t>-14,24 to 31,44</t>
  </si>
  <si>
    <t>-14,58 to 16,70</t>
  </si>
  <si>
    <t>-60,00 to -14,32</t>
  </si>
  <si>
    <t>-63,06 to -31,78</t>
  </si>
  <si>
    <t>-54,61 to -8,929</t>
  </si>
  <si>
    <t>-66,27 to -34,99</t>
  </si>
  <si>
    <t>total</t>
  </si>
  <si>
    <t>Classification of CMs according to sarcomeric organization</t>
  </si>
  <si>
    <t>number of CMs from n=2 differentiations</t>
  </si>
  <si>
    <t>Class I</t>
  </si>
  <si>
    <t>Class II</t>
  </si>
  <si>
    <t>Class III</t>
  </si>
  <si>
    <t>Class IV</t>
  </si>
  <si>
    <t>number of analyzed CMs</t>
  </si>
  <si>
    <t>Sarcomere length in µm (CMs from n=2 differentiations)</t>
  </si>
  <si>
    <t>Shapiro-Wilk test</t>
  </si>
  <si>
    <t>W</t>
  </si>
  <si>
    <t>Passed normality test (alpha=0.05)?</t>
  </si>
  <si>
    <t>Kruskal-Wallis test</t>
  </si>
  <si>
    <t>Exact or approximate P value?</t>
  </si>
  <si>
    <t>Approximate</t>
  </si>
  <si>
    <t>Do the medians vary signif. (P &lt; 0.05)?</t>
  </si>
  <si>
    <t>Number of groups</t>
  </si>
  <si>
    <t>Kruskal-Wallis statistic</t>
  </si>
  <si>
    <t>Dunn's multiple comparisons test</t>
  </si>
  <si>
    <t>Mean rank diff,</t>
  </si>
  <si>
    <t>GJA1</t>
  </si>
  <si>
    <t>-0,1249 to 1,313</t>
  </si>
  <si>
    <t>0,2330 to 1,405</t>
  </si>
  <si>
    <t>-0,8505 to 0,5869</t>
  </si>
  <si>
    <t>0,2897 to 1,462</t>
  </si>
  <si>
    <t>-0,5298 to 0,9076</t>
  </si>
  <si>
    <t>0,3012 to 1,473</t>
  </si>
  <si>
    <t>HEY2</t>
  </si>
  <si>
    <t>0,1831 to 1,779</t>
  </si>
  <si>
    <t>0,4429 to 1,522</t>
  </si>
  <si>
    <t>-0,2606 to 1,335</t>
  </si>
  <si>
    <t>0,3392 to 1,419</t>
  </si>
  <si>
    <t>-1,276 to 0,3199</t>
  </si>
  <si>
    <t>0,3218 to 1,401</t>
  </si>
  <si>
    <t>FABP5</t>
  </si>
  <si>
    <t>0,2633 to 1,480</t>
  </si>
  <si>
    <t>0,2995 to 1,487</t>
  </si>
  <si>
    <t>0,06613 to 1,283</t>
  </si>
  <si>
    <t>0,08181 to 1,269</t>
  </si>
  <si>
    <t>-0,5577 to 0,7821</t>
  </si>
  <si>
    <t>0,2210 to 1,408</t>
  </si>
  <si>
    <t>GJA5</t>
  </si>
  <si>
    <t>-0,9023 to 2,047</t>
  </si>
  <si>
    <t>-1,750 to 0,7857</t>
  </si>
  <si>
    <t>-2,462 to 0,4876</t>
  </si>
  <si>
    <t>-1,410 to 1,126</t>
  </si>
  <si>
    <t>-1,396 to 1,851</t>
  </si>
  <si>
    <t>-0,9022 to 1,634</t>
  </si>
  <si>
    <t>KCNA5</t>
  </si>
  <si>
    <t>-1,540 to 1,853</t>
  </si>
  <si>
    <t>-1,330 to 0,5589</t>
  </si>
  <si>
    <t>-3,165 to 0,2276</t>
  </si>
  <si>
    <t>-0,7433 to 1,145</t>
  </si>
  <si>
    <t>-2,164 to 1,571</t>
  </si>
  <si>
    <t>-0,7106 to 1,178</t>
  </si>
  <si>
    <t>KCNJ3</t>
  </si>
  <si>
    <t>-5,574 to -1,144</t>
  </si>
  <si>
    <t>-3,606 to -1,158</t>
  </si>
  <si>
    <t>-1,465 to 2,965</t>
  </si>
  <si>
    <t>-1,039 to 1,410</t>
  </si>
  <si>
    <t>-3,022 to 1,856</t>
  </si>
  <si>
    <t>-0,9231 to 1,526</t>
  </si>
  <si>
    <t>HLHS</t>
  </si>
  <si>
    <t>0.4 Hz</t>
  </si>
  <si>
    <t>0.5 Hz</t>
  </si>
  <si>
    <t>1.0 Hz</t>
  </si>
  <si>
    <r>
      <t>diastolic Ca</t>
    </r>
    <r>
      <rPr>
        <b/>
        <vertAlign val="superscript"/>
        <sz val="11"/>
        <color theme="1"/>
        <rFont val="Arial"/>
        <family val="2"/>
      </rPr>
      <t>2+</t>
    </r>
    <r>
      <rPr>
        <b/>
        <sz val="11"/>
        <color theme="1"/>
        <rFont val="Arial"/>
        <family val="2"/>
      </rPr>
      <t xml:space="preserve"> levels at 0.4Hz</t>
    </r>
  </si>
  <si>
    <t>Mann Whitney test</t>
  </si>
  <si>
    <t>Exact</t>
  </si>
  <si>
    <t>Significantly different (P &lt; 0.05)?</t>
  </si>
  <si>
    <t>One- or two-tailed P value?</t>
  </si>
  <si>
    <t>Two-tailed</t>
  </si>
  <si>
    <t>Sum of ranks in column A,B</t>
  </si>
  <si>
    <t>1125 , 6016</t>
  </si>
  <si>
    <t>Mann-Whitney U</t>
  </si>
  <si>
    <r>
      <t>diastolic Ca</t>
    </r>
    <r>
      <rPr>
        <b/>
        <vertAlign val="superscript"/>
        <sz val="11"/>
        <color theme="1"/>
        <rFont val="Arial"/>
        <family val="2"/>
      </rPr>
      <t>2+</t>
    </r>
    <r>
      <rPr>
        <b/>
        <sz val="11"/>
        <color theme="1"/>
        <rFont val="Arial"/>
        <family val="2"/>
      </rPr>
      <t xml:space="preserve"> levels at 0.5Hz</t>
    </r>
  </si>
  <si>
    <t>1118 , 6023</t>
  </si>
  <si>
    <r>
      <t>diastolic Ca</t>
    </r>
    <r>
      <rPr>
        <b/>
        <vertAlign val="superscript"/>
        <sz val="11"/>
        <color theme="1"/>
        <rFont val="Arial"/>
        <family val="2"/>
      </rPr>
      <t>2+</t>
    </r>
    <r>
      <rPr>
        <b/>
        <sz val="11"/>
        <color theme="1"/>
        <rFont val="Arial"/>
        <family val="2"/>
      </rPr>
      <t xml:space="preserve"> levels at 1Hz</t>
    </r>
  </si>
  <si>
    <t>0.4Hz</t>
  </si>
  <si>
    <t>0.5Hz</t>
  </si>
  <si>
    <t>1Hz</t>
  </si>
  <si>
    <t>1435 , 5705</t>
  </si>
  <si>
    <r>
      <t>systolic Ca</t>
    </r>
    <r>
      <rPr>
        <b/>
        <vertAlign val="superscript"/>
        <sz val="11"/>
        <color theme="1"/>
        <rFont val="Arial"/>
        <family val="2"/>
      </rPr>
      <t>2+</t>
    </r>
    <r>
      <rPr>
        <b/>
        <sz val="11"/>
        <color theme="1"/>
        <rFont val="Arial"/>
        <family val="2"/>
      </rPr>
      <t xml:space="preserve"> levels at 0.4Hz</t>
    </r>
  </si>
  <si>
    <t>1664 , 5477</t>
  </si>
  <si>
    <r>
      <t>systolic Ca</t>
    </r>
    <r>
      <rPr>
        <b/>
        <vertAlign val="superscript"/>
        <sz val="11"/>
        <color theme="1"/>
        <rFont val="Arial"/>
        <family val="2"/>
      </rPr>
      <t>2+</t>
    </r>
    <r>
      <rPr>
        <b/>
        <sz val="11"/>
        <color theme="1"/>
        <rFont val="Arial"/>
        <family val="2"/>
      </rPr>
      <t xml:space="preserve"> levels at 0.5Hz</t>
    </r>
  </si>
  <si>
    <t>1538 , 5603</t>
  </si>
  <si>
    <t>1568 , 5573</t>
  </si>
  <si>
    <r>
      <t>diastolic Ca</t>
    </r>
    <r>
      <rPr>
        <b/>
        <vertAlign val="superscript"/>
        <sz val="11"/>
        <color theme="1"/>
        <rFont val="Arial"/>
        <family val="2"/>
      </rPr>
      <t>2+</t>
    </r>
    <r>
      <rPr>
        <b/>
        <sz val="11"/>
        <color theme="1"/>
        <rFont val="Arial"/>
        <family val="2"/>
      </rPr>
      <t xml:space="preserve"> levels</t>
    </r>
  </si>
  <si>
    <r>
      <t>systolic Ca</t>
    </r>
    <r>
      <rPr>
        <b/>
        <vertAlign val="superscript"/>
        <sz val="11"/>
        <color theme="1"/>
        <rFont val="Arial"/>
        <family val="2"/>
      </rPr>
      <t>2+</t>
    </r>
    <r>
      <rPr>
        <b/>
        <sz val="11"/>
        <color theme="1"/>
        <rFont val="Arial"/>
        <family val="2"/>
      </rPr>
      <t xml:space="preserve"> levels</t>
    </r>
  </si>
  <si>
    <t>1081 , 6060</t>
  </si>
  <si>
    <t>1103 , 6037</t>
  </si>
  <si>
    <t>1760 , 5381</t>
  </si>
  <si>
    <t>-0,4009 to 0,2790</t>
  </si>
  <si>
    <t>-0,2455 to 0,3719</t>
  </si>
  <si>
    <t>-0,4080 to 0,2094</t>
  </si>
  <si>
    <t>multinucleation</t>
  </si>
  <si>
    <t>% 1n</t>
  </si>
  <si>
    <t>% 2n</t>
  </si>
  <si>
    <t>% ≥3n</t>
  </si>
  <si>
    <t>1n</t>
  </si>
  <si>
    <t>2n</t>
  </si>
  <si>
    <t xml:space="preserve"> ≥3n</t>
  </si>
  <si>
    <t>total CMs</t>
  </si>
  <si>
    <t>HLHS3 n4</t>
  </si>
  <si>
    <t>sum</t>
  </si>
  <si>
    <t>&gt;0,9999</t>
  </si>
  <si>
    <t>d30 1n</t>
  </si>
  <si>
    <t>d60 1n</t>
  </si>
  <si>
    <t>-4,454 to 7,711</t>
  </si>
  <si>
    <t>-8,376 to 1,013</t>
  </si>
  <si>
    <t>-1,614 to 10,55</t>
  </si>
  <si>
    <t>-1,476 to 7,913</t>
  </si>
  <si>
    <t>-4,020 to 7,154</t>
  </si>
  <si>
    <t>-0,1139 to 8,579</t>
  </si>
  <si>
    <t>d30 2n</t>
  </si>
  <si>
    <t>d60 2n</t>
  </si>
  <si>
    <t>-6,801 to 4,457</t>
  </si>
  <si>
    <t>0,3246 to 6,865</t>
  </si>
  <si>
    <t>-10,27 to 0,9841</t>
  </si>
  <si>
    <t>-5,709 to 0,8321</t>
  </si>
  <si>
    <t>-6,703 to 3,639</t>
  </si>
  <si>
    <t>-4,920 to 1,135</t>
  </si>
  <si>
    <t>d30  ≥3n</t>
  </si>
  <si>
    <t>d60  ≥3n</t>
  </si>
  <si>
    <t>-1,804 to 0,8870</t>
  </si>
  <si>
    <t>-4,345 to 4,512</t>
  </si>
  <si>
    <t>-1,171 to 1,520</t>
  </si>
  <si>
    <t>-5,212 to 3,645</t>
  </si>
  <si>
    <t>-1,273 to 1,199</t>
  </si>
  <si>
    <t>-6,440 to 1,760</t>
  </si>
  <si>
    <t>Ki67+ cells</t>
  </si>
  <si>
    <t>-8,960 to 22,12</t>
  </si>
  <si>
    <t>-10,41 to 4,262</t>
  </si>
  <si>
    <t>-11,48 to 19,60</t>
  </si>
  <si>
    <t>-14,33 to 0,3354</t>
  </si>
  <si>
    <t>-14,85 to 13,70</t>
  </si>
  <si>
    <t>-17,96 to -4,383</t>
  </si>
  <si>
    <t>-2,015 to 1,924</t>
  </si>
  <si>
    <t>-1,696 to 1,019</t>
  </si>
  <si>
    <t>-2,601 to 1,337</t>
  </si>
  <si>
    <t>-1,772 to 0,9424</t>
  </si>
  <si>
    <t>-2,351 to 1,267</t>
  </si>
  <si>
    <t>-2,084 to 0,4292</t>
  </si>
  <si>
    <t>-0,4239 to 0,1506</t>
  </si>
  <si>
    <t>-0,3247 to 0,5547</t>
  </si>
  <si>
    <t>-0,2872 to 0,2872</t>
  </si>
  <si>
    <t>-0,5747 to 0,3047</t>
  </si>
  <si>
    <t>-0,3613 to 0,1663</t>
  </si>
  <si>
    <t>-0,2921 to 0,5221</t>
  </si>
  <si>
    <t>% of CMs in G1</t>
  </si>
  <si>
    <t>% of CMs in S</t>
  </si>
  <si>
    <t>% of CMs in G2</t>
  </si>
  <si>
    <t>% of CMs with 8n</t>
  </si>
  <si>
    <t>% of CMs with ≥16n</t>
  </si>
  <si>
    <t>G1_2n</t>
  </si>
  <si>
    <t>-4,836 to 23,04</t>
  </si>
  <si>
    <t>-21,44 to 4,847</t>
  </si>
  <si>
    <t>8,115 to 38,46</t>
  </si>
  <si>
    <t>S</t>
  </si>
  <si>
    <t>CTR vs. 375</t>
  </si>
  <si>
    <t>-5,039 to 3,117</t>
  </si>
  <si>
    <t>CTR vs. 612</t>
  </si>
  <si>
    <t>-2,428 to 5,260</t>
  </si>
  <si>
    <t>CTR vs. 606</t>
  </si>
  <si>
    <t>-1,385 to 7,493</t>
  </si>
  <si>
    <t>G2_4n</t>
  </si>
  <si>
    <t>-3,769 to 8,479</t>
  </si>
  <si>
    <t>-3,882 to 7,666</t>
  </si>
  <si>
    <t>-3,217 to 10,12</t>
  </si>
  <si>
    <t>8n</t>
  </si>
  <si>
    <t>-10,46 to -0,02468</t>
  </si>
  <si>
    <t>-4,373 to 5,469</t>
  </si>
  <si>
    <t>-12,51 to -1,146</t>
  </si>
  <si>
    <t>≥16n</t>
  </si>
  <si>
    <t>-11,35 to 1,254</t>
  </si>
  <si>
    <t>-5,221 to 6,665</t>
  </si>
  <si>
    <t>-16,30 to -2,580</t>
  </si>
  <si>
    <t>Percentage of CM nuclei from infant control and HLHS subjects</t>
  </si>
  <si>
    <t>Patient-ID</t>
  </si>
  <si>
    <t>Number of CM nuclei</t>
  </si>
  <si>
    <t>Number of total nuclei</t>
  </si>
  <si>
    <t>% of CM nuclei</t>
  </si>
  <si>
    <t>Unpaired t test</t>
  </si>
  <si>
    <t>t, df</t>
  </si>
  <si>
    <t>t=0,9392, df=6</t>
  </si>
  <si>
    <t>HLHS patients selected for nuclear RNAseq profiling</t>
  </si>
  <si>
    <t>HLHS patients selected for iPSC generation</t>
  </si>
  <si>
    <t>Patient ID</t>
  </si>
  <si>
    <t>LV lumen / LV area</t>
  </si>
  <si>
    <t>Patient line</t>
  </si>
  <si>
    <t>HLHS1 (375)</t>
  </si>
  <si>
    <t>HLHS2 (612)</t>
  </si>
  <si>
    <t>HLHS3 (606)</t>
  </si>
  <si>
    <t>t=0,1477, df=5</t>
  </si>
  <si>
    <t>ISL+/NKX+ cell number</t>
  </si>
  <si>
    <t>ISL+/NKX- cell number</t>
  </si>
  <si>
    <t>TOTAL cell number</t>
  </si>
  <si>
    <t>ISL+/NKX+ Percentage</t>
  </si>
  <si>
    <t>ISL+/NKX- Percentage</t>
  </si>
  <si>
    <t xml:space="preserve">ISL+/NKX+ </t>
  </si>
  <si>
    <t>45,97 to 89,70</t>
  </si>
  <si>
    <t>21,74 to 65,47</t>
  </si>
  <si>
    <t>42,90 to 86,63</t>
  </si>
  <si>
    <t xml:space="preserve">ISL+/NKX- </t>
  </si>
  <si>
    <t>0,2556 to 23,10</t>
  </si>
  <si>
    <t>-2,205 to 20,63</t>
  </si>
  <si>
    <t>0,9605 to 23,80</t>
  </si>
  <si>
    <t>Input data Fig. 4B</t>
  </si>
  <si>
    <t>Percentage of ISL1+/NKX+ ad ISL1+/NKX- cells</t>
  </si>
  <si>
    <t>ISL_Low/NKX_Low cell number</t>
  </si>
  <si>
    <t>ISL_High/NKX_High cell number</t>
  </si>
  <si>
    <t>ISL_Low/NKX_High cell number</t>
  </si>
  <si>
    <t>ISL_High/NKX_Low cell number</t>
  </si>
  <si>
    <t>ISL_Low/NKX_Low Percentage</t>
  </si>
  <si>
    <t>ISL_High/NKX_High Percentage</t>
  </si>
  <si>
    <t>ISL_Low/NKX_High Percentage</t>
  </si>
  <si>
    <t>ISL_High/NKX_Low Percentage</t>
  </si>
  <si>
    <t>ISL_Low/NKX_Low</t>
  </si>
  <si>
    <t>ISL_High/NKX_High</t>
  </si>
  <si>
    <t>ISL_Low/NKX_High</t>
  </si>
  <si>
    <t>ISL_High/NKX_Low</t>
  </si>
  <si>
    <t>-61,32 to -28,61</t>
  </si>
  <si>
    <t>-3,095 to 29,62</t>
  </si>
  <si>
    <t>-53,99 to -21,28</t>
  </si>
  <si>
    <t>17,61 to 45,81</t>
  </si>
  <si>
    <t>-21,12 to 7,083</t>
  </si>
  <si>
    <t>15,22 to 43,42</t>
  </si>
  <si>
    <t>-5,879 to 12,72</t>
  </si>
  <si>
    <t>-18,94 to -0,3489</t>
  </si>
  <si>
    <t>-10,38 to 8,220</t>
  </si>
  <si>
    <t>0,7089 to 18,97</t>
  </si>
  <si>
    <t>-5,727 to 12,53</t>
  </si>
  <si>
    <t>0,2663 to 18,53</t>
  </si>
  <si>
    <t>Input data Fig. 4D</t>
  </si>
  <si>
    <t>Percentage of ISL/NKX subpopulations</t>
  </si>
  <si>
    <t>ISL_Low/NKX_High_TBX5+ cell number</t>
  </si>
  <si>
    <t>ISL_Low/NKX_High_TBX5- cell number</t>
  </si>
  <si>
    <t>ISL_Low/NKX_High TOTAL cell number</t>
  </si>
  <si>
    <t>ISL_Low/NKX_High_TBX5+ Percentage</t>
  </si>
  <si>
    <t>ISL_Low/NKX_High_TBX5- Percentage</t>
  </si>
  <si>
    <t>ISL_Low/NKX_High_TBX5+</t>
  </si>
  <si>
    <t>76,21 to 100,5</t>
  </si>
  <si>
    <t>79,74 to 104,0</t>
  </si>
  <si>
    <t>75,62 to 99,87</t>
  </si>
  <si>
    <t>ISL_Low/NKX_High_TBX5-</t>
  </si>
  <si>
    <t>-100,5 to -76,21</t>
  </si>
  <si>
    <t>-104,0 to -79,74</t>
  </si>
  <si>
    <t>-99,87 to -75,62</t>
  </si>
  <si>
    <t>Percentage of TBX5+ cells in the ISL_low/NKX_high subpopulation</t>
  </si>
  <si>
    <t>ISL_Low/NKX_Low/EdU+ cell number</t>
  </si>
  <si>
    <t>ISL_High/NKX_High/EdU+ cell number</t>
  </si>
  <si>
    <t>ISL_Low/NKX_High/EdU+ cell number</t>
  </si>
  <si>
    <t>ISL_High/NKX_Low/EdU+ cell number</t>
  </si>
  <si>
    <t>ISL_Low/NKX_Low/EdU+ Percentage</t>
  </si>
  <si>
    <t>ISL_High/NKX_High/EdU+ Percentage</t>
  </si>
  <si>
    <t>ISL_Low/NKX_High/EdU+ Percentage</t>
  </si>
  <si>
    <t>ISL_High/NKX_Low/EdU+ Percentage</t>
  </si>
  <si>
    <t>ISL_Low/NKX_Low/EdU+</t>
  </si>
  <si>
    <t>-8,886 to 40,55</t>
  </si>
  <si>
    <t>-14,35 to 35,08</t>
  </si>
  <si>
    <t>-8,956 to 40,48</t>
  </si>
  <si>
    <t>ISL_High/NKX_High/EdU+</t>
  </si>
  <si>
    <t>-54,57 to 88,10</t>
  </si>
  <si>
    <t>-88,38 to 54,29</t>
  </si>
  <si>
    <t>-75,40 to 67,27</t>
  </si>
  <si>
    <t>ISL_Low/NKX_High/EdU+</t>
  </si>
  <si>
    <t>-86,98 to -33,19</t>
  </si>
  <si>
    <t>-58,18 to -4,391</t>
  </si>
  <si>
    <t>-67,49 to -13,70</t>
  </si>
  <si>
    <t>ISL_High/NKX_Low/EdU+</t>
  </si>
  <si>
    <t>-35,43 to 47,57</t>
  </si>
  <si>
    <t>-44,66 to 38,35</t>
  </si>
  <si>
    <t>-37,02 to 45,98</t>
  </si>
  <si>
    <t>Input data Fig. 4F</t>
  </si>
  <si>
    <t>Percentage of EdU+ cells in ISL/NKX subpopulations</t>
  </si>
  <si>
    <t>ATF4</t>
  </si>
  <si>
    <t>0,1913 to 0,5027</t>
  </si>
  <si>
    <t>0,03948 to 0,3876</t>
  </si>
  <si>
    <t>0,008263 to 0,3196</t>
  </si>
  <si>
    <t>ATG5</t>
  </si>
  <si>
    <t>0,1254 to 0,4562</t>
  </si>
  <si>
    <t>0,06491 to 0,3957</t>
  </si>
  <si>
    <t>0,06153 to 0,3574</t>
  </si>
  <si>
    <t>CHOP</t>
  </si>
  <si>
    <t>0,2352 to 0,6003</t>
  </si>
  <si>
    <t>0,2845 to 0,6495</t>
  </si>
  <si>
    <t>0,2560 to 0,6211</t>
  </si>
  <si>
    <t>Input data Fig. 4H</t>
  </si>
  <si>
    <t>Input data Fig. 4E</t>
  </si>
  <si>
    <t>-0,7065 to 0,1452</t>
  </si>
  <si>
    <t>-0,7036 to 0,2485</t>
  </si>
  <si>
    <t>-0,5581 to 0,2935</t>
  </si>
  <si>
    <t>-0,4352 to 0,4345</t>
  </si>
  <si>
    <t>-0,3590 to 0,6805</t>
  </si>
  <si>
    <t>-0,5148 to 0,4150</t>
  </si>
  <si>
    <t>-1,276 to 1,208</t>
  </si>
  <si>
    <t>-1,314 to 1,170</t>
  </si>
  <si>
    <t>-1,083 to 1,694</t>
  </si>
  <si>
    <t>Input data Fig. 4I</t>
  </si>
  <si>
    <t>-52,20 to 13,53</t>
  </si>
  <si>
    <t>-34,06 to 31,67</t>
  </si>
  <si>
    <t>-30,81 to 34,92</t>
  </si>
  <si>
    <t>Tukey's multiple comparisons test</t>
  </si>
  <si>
    <t>0,6274 to 1,205</t>
  </si>
  <si>
    <t>0,6149 to 1,193</t>
  </si>
  <si>
    <t>0,4893 to 1,067</t>
  </si>
  <si>
    <t>HLHS1 vs. HLHS1+</t>
  </si>
  <si>
    <t>-1,020 to -0,3873</t>
  </si>
  <si>
    <t>HLHS2 vs. HLHS2+</t>
  </si>
  <si>
    <t>-0,8010 to -0,1679</t>
  </si>
  <si>
    <t>HLHS3 vs. HLHS3+</t>
  </si>
  <si>
    <t>-0,7638 to -0,1307</t>
  </si>
  <si>
    <t>Input data Fig. 4K</t>
  </si>
  <si>
    <t>LC3II/LC3I level after starvation</t>
  </si>
  <si>
    <t>starvation + chloroquine</t>
  </si>
  <si>
    <t>0,1597 to 1,231</t>
  </si>
  <si>
    <t>0,3003 to 1,372</t>
  </si>
  <si>
    <t>0,4215 to 1,493</t>
  </si>
  <si>
    <t>LC3II/LC3I level after Bref-A</t>
  </si>
  <si>
    <t>Bref-A + chloroquine</t>
  </si>
  <si>
    <t>0,1818 to 1,034</t>
  </si>
  <si>
    <t>0,2649 to 1,218</t>
  </si>
  <si>
    <t>0,3048 to 1,157</t>
  </si>
  <si>
    <t>p62 level after starvation</t>
  </si>
  <si>
    <t>-1,190 to -0,3834</t>
  </si>
  <si>
    <t>-0,8479 to -0,04181</t>
  </si>
  <si>
    <t>-0,9950 to -0,1889</t>
  </si>
  <si>
    <t>Input data Fig. 4G</t>
  </si>
  <si>
    <t>starvation</t>
  </si>
  <si>
    <t>Bref-A</t>
  </si>
  <si>
    <t>p62 level after Bref-A</t>
  </si>
  <si>
    <t>-0,7484 to 0,4619</t>
  </si>
  <si>
    <t>-0,6844 to 0,5259</t>
  </si>
  <si>
    <t>-0,6467 to 0,5635</t>
  </si>
  <si>
    <t>Input data Fig. 4J</t>
  </si>
  <si>
    <t>p62 levels after Bref-A+CCT</t>
  </si>
  <si>
    <t>Input data Fig.4A</t>
  </si>
  <si>
    <t>G1 phase</t>
  </si>
  <si>
    <t>S phase</t>
  </si>
  <si>
    <t>G2/M phase</t>
  </si>
  <si>
    <t>Mixed-effect model two-way (G1 phase)</t>
  </si>
  <si>
    <t>Fixed effects (type III)</t>
  </si>
  <si>
    <t>Statistically significant (P &lt; 0,05)?</t>
  </si>
  <si>
    <t>F (DFn, DFd)</t>
  </si>
  <si>
    <t>Mixed-effect model two-way (S phase)</t>
  </si>
  <si>
    <t>Mixed-effect model two-way (G2/M phase)</t>
  </si>
  <si>
    <t>Cell cycle analysis</t>
  </si>
  <si>
    <t>%</t>
  </si>
  <si>
    <t>CTRL vs. HLHS 3</t>
  </si>
  <si>
    <t>Ploidy level of CM nuclei</t>
  </si>
  <si>
    <t>4n</t>
  </si>
  <si>
    <t>&gt;4n</t>
  </si>
  <si>
    <t>t=4,268, df=6</t>
  </si>
  <si>
    <t>t=4,349, df=6</t>
  </si>
  <si>
    <t>t=2,941, df=6</t>
  </si>
  <si>
    <t>Input data Fig.2A</t>
  </si>
  <si>
    <t>Bref-A + CCT</t>
  </si>
  <si>
    <t xml:space="preserve">Bref-A </t>
  </si>
  <si>
    <t>CTRL-ID</t>
  </si>
  <si>
    <t>HLHS-ID</t>
  </si>
  <si>
    <t>% of LC3II foci area</t>
  </si>
  <si>
    <t>MLC2a+, MLC2v+, MLC2a+/2v+ populations at d30</t>
  </si>
  <si>
    <t>MLC2a+, MLC2v+, MLC2a+/2v+ populations at d60</t>
  </si>
  <si>
    <t>Percentage of CM subtypes</t>
  </si>
  <si>
    <t>CTRL n1</t>
  </si>
  <si>
    <t>CTRL n2</t>
  </si>
  <si>
    <t>CTRL n3</t>
  </si>
  <si>
    <t>CTRL n4</t>
  </si>
  <si>
    <t>CTRL n5</t>
  </si>
  <si>
    <t>CTRL n6</t>
  </si>
  <si>
    <t xml:space="preserve">Percentage of  CMs with 1, 2, and ≥3 nuclei (n) </t>
  </si>
  <si>
    <t>Flow cytometry analysis of propidium iodide staining of d30 CMs</t>
  </si>
  <si>
    <t>CTRL vs. HLSH1</t>
  </si>
  <si>
    <t>CTRL vs. HLSH2</t>
  </si>
  <si>
    <t>-1,578 to -0,1374</t>
  </si>
  <si>
    <t>-2,554 to -1,113</t>
  </si>
  <si>
    <t>-1,563 to -0,1222</t>
  </si>
  <si>
    <t>F (1,797, 10,18) = 264,3</t>
  </si>
  <si>
    <t>F (3, 8) = 4,876</t>
  </si>
  <si>
    <t>F (9, 17) = 21,13</t>
  </si>
  <si>
    <t>-16,72 to 23,24</t>
  </si>
  <si>
    <t>-17,28 to 15,56</t>
  </si>
  <si>
    <t>-7,234 to 12,77</t>
  </si>
  <si>
    <t>-16,96 to -7,268</t>
  </si>
  <si>
    <t>-57,72 to 46,99</t>
  </si>
  <si>
    <t>-1,826 to 8,148</t>
  </si>
  <si>
    <t>20,61 to 52,53</t>
  </si>
  <si>
    <t>10,14 to 45,18</t>
  </si>
  <si>
    <t>13,13 to 42,34</t>
  </si>
  <si>
    <t>-12,37 to 25,96</t>
  </si>
  <si>
    <t>-38,64 to 36,55</t>
  </si>
  <si>
    <t>-18,94 to 9,568</t>
  </si>
  <si>
    <t>F (2,082, 11,80) = 29,28</t>
  </si>
  <si>
    <t>F (3, 8) = 0,7194</t>
  </si>
  <si>
    <t>F (9, 17) = 2,173</t>
  </si>
  <si>
    <t>-9,561 to 12,45</t>
  </si>
  <si>
    <t>-13,36 to 13,54</t>
  </si>
  <si>
    <t>-12,36 to 17,05</t>
  </si>
  <si>
    <t>-18,25 to 31,48</t>
  </si>
  <si>
    <t>-25,40 to 25,24</t>
  </si>
  <si>
    <t>-24,13 to 29,92</t>
  </si>
  <si>
    <t>-26,70 to 2,044</t>
  </si>
  <si>
    <t>-46,57 to 21,64</t>
  </si>
  <si>
    <t>-22,65 to 9,817</t>
  </si>
  <si>
    <t>-13,90 to 9,546</t>
  </si>
  <si>
    <t>-11,32 to 14,67</t>
  </si>
  <si>
    <t>-6,518 to 13,60</t>
  </si>
  <si>
    <t>F (2,084, 17,37) = 75,54</t>
  </si>
  <si>
    <t>F (3, 25) = 5,846</t>
  </si>
  <si>
    <t>F (9, 25) = 3,774</t>
  </si>
  <si>
    <t>-20,79 to 11,37</t>
  </si>
  <si>
    <t>-30,71 to 32,25</t>
  </si>
  <si>
    <t>-21,17 to 10,94</t>
  </si>
  <si>
    <t>-15,03 to 26,04</t>
  </si>
  <si>
    <t>-54,42 to 65,31</t>
  </si>
  <si>
    <t>-29,54 to 17,43</t>
  </si>
  <si>
    <t>-36,01 to -12,48</t>
  </si>
  <si>
    <t>-46,32 to 15,92</t>
  </si>
  <si>
    <t>-37,80 to -4,837</t>
  </si>
  <si>
    <t>-28,16 to 18,93</t>
  </si>
  <si>
    <t>-32,52 to 31,25</t>
  </si>
  <si>
    <t>-6,176 to 8,460</t>
  </si>
  <si>
    <t>D7</t>
  </si>
  <si>
    <t>D10</t>
  </si>
  <si>
    <t>D12</t>
  </si>
  <si>
    <t>D15</t>
  </si>
  <si>
    <t>D18</t>
  </si>
  <si>
    <t>D20</t>
  </si>
  <si>
    <t>D24</t>
  </si>
  <si>
    <t>HLHS 1</t>
  </si>
  <si>
    <t>HLHS 2</t>
  </si>
  <si>
    <t>Input data Fig. 6C</t>
  </si>
  <si>
    <t>Alpha</t>
  </si>
  <si>
    <t>Interaction</t>
  </si>
  <si>
    <t>Row Factor</t>
  </si>
  <si>
    <t>ANOVA table</t>
  </si>
  <si>
    <t>SS (Type III)</t>
  </si>
  <si>
    <t>DF</t>
  </si>
  <si>
    <t>MS</t>
  </si>
  <si>
    <t>P&lt;0,0001</t>
  </si>
  <si>
    <t>Residual</t>
  </si>
  <si>
    <t>Predicted (LS) mean diff,</t>
  </si>
  <si>
    <t>Test details</t>
  </si>
  <si>
    <t>SE of diff,</t>
  </si>
  <si>
    <t>N1</t>
  </si>
  <si>
    <t>N2</t>
  </si>
  <si>
    <t>q</t>
  </si>
  <si>
    <t>Frequency in Hz</t>
  </si>
  <si>
    <t>0.2 Hz</t>
  </si>
  <si>
    <t>p value</t>
  </si>
  <si>
    <t>min. D7</t>
  </si>
  <si>
    <t>max. D7</t>
  </si>
  <si>
    <t>min. D15</t>
  </si>
  <si>
    <t>max. D15</t>
  </si>
  <si>
    <t>min. D24</t>
  </si>
  <si>
    <t>max. D24</t>
  </si>
  <si>
    <t>Day 7</t>
  </si>
  <si>
    <t>&lt; 0,00001</t>
  </si>
  <si>
    <t>Day 15</t>
  </si>
  <si>
    <t>Day 24</t>
  </si>
  <si>
    <t>n</t>
  </si>
  <si>
    <t>1.0  Hz</t>
  </si>
  <si>
    <t>1.5  Hz</t>
  </si>
  <si>
    <t>Input data Fig. 6E</t>
  </si>
  <si>
    <t>-0,3289 to 24,04</t>
  </si>
  <si>
    <t>-0,3104 to 24,02</t>
  </si>
  <si>
    <t>1,676 to 25,91</t>
  </si>
  <si>
    <t>4,386 to 32,00</t>
  </si>
  <si>
    <t>0,2129 to 27,79</t>
  </si>
  <si>
    <t>6,851 to 34,27</t>
  </si>
  <si>
    <t>34,56 to 77,38</t>
  </si>
  <si>
    <t>3,383 to 75,31</t>
  </si>
  <si>
    <t>0,1633 to 81,66</t>
  </si>
  <si>
    <t>CTRL1</t>
  </si>
  <si>
    <t>CTRL2</t>
  </si>
  <si>
    <t>n paceable</t>
  </si>
  <si>
    <t>n total</t>
  </si>
  <si>
    <t>% paceable</t>
  </si>
  <si>
    <t>HLHS 3</t>
  </si>
  <si>
    <t>d12</t>
  </si>
  <si>
    <t>% of ClCasp3+Tunel+</t>
  </si>
  <si>
    <t>% of ClCasp3-Tunel+</t>
  </si>
  <si>
    <t>ClCasp3+Tunel+</t>
  </si>
  <si>
    <t>ClCasp3-Tunel+</t>
  </si>
  <si>
    <t>d24</t>
  </si>
  <si>
    <t>Statistical analysis</t>
  </si>
  <si>
    <t>Input data Fig. 7A</t>
  </si>
  <si>
    <t>-42,09 to -11,29</t>
  </si>
  <si>
    <t>-42,40 to -11,60</t>
  </si>
  <si>
    <t>-35,65 to -4,849</t>
  </si>
  <si>
    <t>-17,01 to 5,618</t>
  </si>
  <si>
    <t>-19,65 to 2,983</t>
  </si>
  <si>
    <t>-20,91 to 1,726</t>
  </si>
  <si>
    <t>-44,54 to -10,50</t>
  </si>
  <si>
    <t>-46,23 to -12,19</t>
  </si>
  <si>
    <t>-44,42 to -10,38</t>
  </si>
  <si>
    <t>-24,98 to -4,921</t>
  </si>
  <si>
    <t>-24,54 to -4,485</t>
  </si>
  <si>
    <t>-25,42 to -5,361</t>
  </si>
  <si>
    <t>% of p53+/ClCasp3-</t>
  </si>
  <si>
    <t>% of p53-/ClCasp3+</t>
  </si>
  <si>
    <t>% of p53+/ClCasp3+</t>
  </si>
  <si>
    <t>p53+/ClCasp3-</t>
  </si>
  <si>
    <t xml:space="preserve"> p53-/ClCasp3+</t>
  </si>
  <si>
    <t>p53+/ClCasp3+</t>
  </si>
  <si>
    <t>n10</t>
  </si>
  <si>
    <t>Input data Fig. 7B</t>
  </si>
  <si>
    <t>-18,24 to -0,8941</t>
  </si>
  <si>
    <t>-15,64 to 2,758</t>
  </si>
  <si>
    <t>-16,46 to 1,937</t>
  </si>
  <si>
    <t>-20,19 to -3,164</t>
  </si>
  <si>
    <t>-24,42 to -6,357</t>
  </si>
  <si>
    <t>-28,14 to -10,08</t>
  </si>
  <si>
    <t>-20,17 to -4,853</t>
  </si>
  <si>
    <t>-12,56 to 3,688</t>
  </si>
  <si>
    <t>-16,86 to -0,6079</t>
  </si>
  <si>
    <t>Percentage of CMs with 1, 2, 3 and 4 nuclei (n) on D12 and D24</t>
  </si>
  <si>
    <t>% 3n</t>
  </si>
  <si>
    <t>% 4n</t>
  </si>
  <si>
    <t>CMs with 1n</t>
  </si>
  <si>
    <t>CMs with 2n</t>
  </si>
  <si>
    <t>CMs with 3n</t>
  </si>
  <si>
    <t>CMs with 4n</t>
  </si>
  <si>
    <t>line</t>
  </si>
  <si>
    <t>D12         1n</t>
  </si>
  <si>
    <t>D12         2n</t>
  </si>
  <si>
    <t>D12         3n</t>
  </si>
  <si>
    <t>D12         4n</t>
  </si>
  <si>
    <t>D24         1n</t>
  </si>
  <si>
    <t>D24         2n</t>
  </si>
  <si>
    <t>D24         3n</t>
  </si>
  <si>
    <t>D24         4n</t>
  </si>
  <si>
    <t>Input data Fig. 7D</t>
  </si>
  <si>
    <t>15,23 to 56,90</t>
  </si>
  <si>
    <t>16,47 to 58,13</t>
  </si>
  <si>
    <t>8,603 to 50,27</t>
  </si>
  <si>
    <t>-5,827 to 21,33</t>
  </si>
  <si>
    <t>-4,836 to 22,32</t>
  </si>
  <si>
    <t>-5,041 to 22,11</t>
  </si>
  <si>
    <t>-28,48 to -7,721</t>
  </si>
  <si>
    <t>-29,14 to -8,380</t>
  </si>
  <si>
    <t>-24,04 to -3,282</t>
  </si>
  <si>
    <t>28,02 to 73,81</t>
  </si>
  <si>
    <t>25,28 to 71,07</t>
  </si>
  <si>
    <t>27,30 to 73,08</t>
  </si>
  <si>
    <t>-33,96 to -17,47</t>
  </si>
  <si>
    <t>-35,53 to -19,04</t>
  </si>
  <si>
    <t>-32,56 to -16,06</t>
  </si>
  <si>
    <t>-18,74 to 17,67</t>
  </si>
  <si>
    <t>-19,59 to 16,82</t>
  </si>
  <si>
    <t>-17,42 to 18,99</t>
  </si>
  <si>
    <t>-29,43 to -6,574</t>
  </si>
  <si>
    <t>-28,66 to -5,802</t>
  </si>
  <si>
    <t>-27,79 to -4,935</t>
  </si>
  <si>
    <t>-41,58 to -23,17</t>
  </si>
  <si>
    <t>-38,77 to -20,36</t>
  </si>
  <si>
    <t>-43,82 to -25,40</t>
  </si>
  <si>
    <t>% of Ki67+PH3+</t>
  </si>
  <si>
    <t>% of Ki67+PH3-</t>
  </si>
  <si>
    <t>Ki67+PH3+</t>
  </si>
  <si>
    <t>Ki67+PH3-</t>
  </si>
  <si>
    <t>Input data Fig. 7E</t>
  </si>
  <si>
    <t>-16,20 to -7,381</t>
  </si>
  <si>
    <t>-6,625 to 3,038</t>
  </si>
  <si>
    <t>-9,702 to -0,03827</t>
  </si>
  <si>
    <t>-25,05 to -13,47</t>
  </si>
  <si>
    <t>-20,52 to -7,830</t>
  </si>
  <si>
    <t>-24,72 to -12,03</t>
  </si>
  <si>
    <t>-3,567 to 5,848</t>
  </si>
  <si>
    <t>-2,677 to 7,636</t>
  </si>
  <si>
    <t>-6,067 to 4,246</t>
  </si>
  <si>
    <t>-31,13 to -11,89</t>
  </si>
  <si>
    <t>-30,33 to -9,261</t>
  </si>
  <si>
    <t>-27,18 to -6,108</t>
  </si>
  <si>
    <t>PH3+/Ki67+</t>
  </si>
  <si>
    <t>PH3-/Ki67+</t>
  </si>
  <si>
    <t>nuclei per CM</t>
  </si>
  <si>
    <t>number of nuclei</t>
  </si>
  <si>
    <t>number of CMs</t>
  </si>
  <si>
    <t>3n</t>
  </si>
  <si>
    <t>PH3+/Ki67+  1n</t>
  </si>
  <si>
    <t>PH3+/Ki67+  2n</t>
  </si>
  <si>
    <t>PH3+/Ki67+  3n</t>
  </si>
  <si>
    <t>PH3+/Ki67+  4n</t>
  </si>
  <si>
    <t>PH3-/Ki67+  1n</t>
  </si>
  <si>
    <t>PH3-/Ki67+  2n</t>
  </si>
  <si>
    <t>PH3-/Ki67+  3n</t>
  </si>
  <si>
    <t>PH3-/Ki67+  4n</t>
  </si>
  <si>
    <t>Input data Fig. 7F</t>
  </si>
  <si>
    <t>-16,79 to -10,44</t>
  </si>
  <si>
    <t>-12,61 to -6,256</t>
  </si>
  <si>
    <t>-16,94 to -10,59</t>
  </si>
  <si>
    <t>7,766 to 14,68</t>
  </si>
  <si>
    <t>-0,6993 to 6,214</t>
  </si>
  <si>
    <t>-4,197 to 2,717</t>
  </si>
  <si>
    <t>1,985 to 12,83</t>
  </si>
  <si>
    <t>4,718 to 15,56</t>
  </si>
  <si>
    <t>-1,666 to 9,179</t>
  </si>
  <si>
    <t>-13,78 to -3,808</t>
  </si>
  <si>
    <t>-11,24 to -1,262</t>
  </si>
  <si>
    <t>-12,63 to -2,650</t>
  </si>
  <si>
    <t>1,835 to 3,449</t>
  </si>
  <si>
    <t>-34,52 to -11,27</t>
  </si>
  <si>
    <t>-17,03 to 6,215</t>
  </si>
  <si>
    <t>-21,49 to 1,761</t>
  </si>
  <si>
    <t>-20,33 to -7,443</t>
  </si>
  <si>
    <t>-23,55 to -10,66</t>
  </si>
  <si>
    <t>-19,36 to -6,464</t>
  </si>
  <si>
    <t>-34,38 to -27,20</t>
  </si>
  <si>
    <t>-36,23 to -29,05</t>
  </si>
  <si>
    <t>-28,59 to -21,41</t>
  </si>
  <si>
    <t>Percentage of nuclei positive for ClCasp3 and phP53 in mono-, di-, tri- or tetra-nucleated CMs on d24</t>
  </si>
  <si>
    <t>ClCasp3+/Tunel+</t>
  </si>
  <si>
    <t>ClCasp3-/Tunel+</t>
  </si>
  <si>
    <t>ClCasp3+/Tunel+  1n</t>
  </si>
  <si>
    <t>ClCasp3+/Tunel+ 2n</t>
  </si>
  <si>
    <t>ClCasp3+/Tunel+ 3n</t>
  </si>
  <si>
    <t>ClCasp3+/Tunel+ 4n</t>
  </si>
  <si>
    <t>ClCasp3- /Tunel+  1n</t>
  </si>
  <si>
    <t>Input data Fig. 7G</t>
  </si>
  <si>
    <t>-9,313 to 2,501</t>
  </si>
  <si>
    <t>-10,07 to 1,743</t>
  </si>
  <si>
    <t>-3,378 to 8,436</t>
  </si>
  <si>
    <t>-6,967 to 2,009</t>
  </si>
  <si>
    <t>-7,815 to 1,161</t>
  </si>
  <si>
    <t>-6,472 to 2,505</t>
  </si>
  <si>
    <t>-24,91 to -3,607</t>
  </si>
  <si>
    <t>-24,74 to -3,436</t>
  </si>
  <si>
    <t>-27,29 to -5,984</t>
  </si>
  <si>
    <t>-23,02 to -13,58</t>
  </si>
  <si>
    <t>-23,87 to -14,44</t>
  </si>
  <si>
    <t>-25,01 to -15,57</t>
  </si>
  <si>
    <t>-21,32 to 1,902</t>
  </si>
  <si>
    <t>-17,16 to 6,065</t>
  </si>
  <si>
    <t>-53,02 to -29,79</t>
  </si>
  <si>
    <t>ClCasp3- /Tunel+  2n</t>
  </si>
  <si>
    <t>-15,09 to 2,454</t>
  </si>
  <si>
    <t>-12,62 to 4,922</t>
  </si>
  <si>
    <t>-17,09 to 0,4539</t>
  </si>
  <si>
    <t>ClCasp3- /Tunel+  3n</t>
  </si>
  <si>
    <t>13,86 to 81,22</t>
  </si>
  <si>
    <t>13,45 to 80,81</t>
  </si>
  <si>
    <t>9,148 to 76,51</t>
  </si>
  <si>
    <t>ClCasp3- /Tunel+  4n</t>
  </si>
  <si>
    <t>-80,25 to -61,51</t>
  </si>
  <si>
    <t>-75,81 to -57,06</t>
  </si>
  <si>
    <t>-77,29 to -58,55</t>
  </si>
  <si>
    <t>Percentage of CMs expressing MLC2a and MLC2v on D12 and D24</t>
  </si>
  <si>
    <t>% MLC2a</t>
  </si>
  <si>
    <t>% MLC2v</t>
  </si>
  <si>
    <t>% MLC2a+ MLC2v+</t>
  </si>
  <si>
    <t>MLC2a</t>
  </si>
  <si>
    <t>MLC2v</t>
  </si>
  <si>
    <t>MLC2a+ MLC2v+</t>
  </si>
  <si>
    <t>Input data Fig. 7H</t>
  </si>
  <si>
    <t>-71,92 to -44,77</t>
  </si>
  <si>
    <t>-70,08 to -42,94</t>
  </si>
  <si>
    <t>-71,41 to -44,26</t>
  </si>
  <si>
    <t>35,14 to 74,75</t>
  </si>
  <si>
    <t>41,90 to 81,52</t>
  </si>
  <si>
    <t>40,55 to 80,16</t>
  </si>
  <si>
    <t>-17,36 to 22,99</t>
  </si>
  <si>
    <t>-25,38 to 14,98</t>
  </si>
  <si>
    <t>-22,69 to 17,66</t>
  </si>
  <si>
    <t>-71,07 to -39,34</t>
  </si>
  <si>
    <t>-73,12 to -41,40</t>
  </si>
  <si>
    <t>-63,53 to -31,80</t>
  </si>
  <si>
    <t>64,23 to 93,08</t>
  </si>
  <si>
    <t>63,70 to 92,56</t>
  </si>
  <si>
    <t>-38,06 to -8,837</t>
  </si>
  <si>
    <t>-35,48 to -6,255</t>
  </si>
  <si>
    <t>-45,08 to -15,85</t>
  </si>
  <si>
    <t>AFP</t>
  </si>
  <si>
    <t>Fold change (D21 vs D0)</t>
  </si>
  <si>
    <t>SOX7</t>
  </si>
  <si>
    <t>KRT14</t>
  </si>
  <si>
    <t>TH</t>
  </si>
  <si>
    <t>ACTA2</t>
  </si>
  <si>
    <t>CD31</t>
  </si>
  <si>
    <t>CTR1</t>
  </si>
  <si>
    <t>CTR2</t>
  </si>
  <si>
    <t>CTR3</t>
  </si>
  <si>
    <t>Gene expression analysis after Brefeldin-A</t>
  </si>
  <si>
    <t>Gene expression analysis after Brefeldin-A plus CCT</t>
  </si>
  <si>
    <t>HLHS1+CCT</t>
  </si>
  <si>
    <t>HLHS2+CCT</t>
  </si>
  <si>
    <t>HLHS3+CCT</t>
  </si>
  <si>
    <t>Gene expression analysis of markes of the three germ layers</t>
  </si>
  <si>
    <t>Gene expression analysis during CPC differenetiation</t>
  </si>
  <si>
    <t>Analysis after chloroquine treatment</t>
  </si>
  <si>
    <r>
      <t>Systolic and diastolic Ca</t>
    </r>
    <r>
      <rPr>
        <vertAlign val="superscript"/>
        <sz val="14"/>
        <color theme="1"/>
        <rFont val="Arial"/>
        <family val="2"/>
      </rPr>
      <t>2+</t>
    </r>
    <r>
      <rPr>
        <sz val="14"/>
        <color theme="1"/>
        <rFont val="Arial"/>
        <family val="2"/>
      </rPr>
      <t xml:space="preserve"> levels</t>
    </r>
  </si>
  <si>
    <r>
      <t>Ca</t>
    </r>
    <r>
      <rPr>
        <vertAlign val="superscript"/>
        <sz val="14"/>
        <color theme="1"/>
        <rFont val="Arial"/>
        <family val="2"/>
      </rPr>
      <t>2+</t>
    </r>
    <r>
      <rPr>
        <sz val="14"/>
        <color theme="1"/>
        <rFont val="Arial"/>
        <family val="2"/>
      </rPr>
      <t xml:space="preserve"> transient duration at 90% decay (TD</t>
    </r>
    <r>
      <rPr>
        <vertAlign val="subscript"/>
        <sz val="14"/>
        <color theme="1"/>
        <rFont val="Arial"/>
        <family val="2"/>
      </rPr>
      <t>90</t>
    </r>
    <r>
      <rPr>
        <sz val="14"/>
        <color theme="1"/>
        <rFont val="Arial"/>
        <family val="2"/>
      </rPr>
      <t>)</t>
    </r>
  </si>
  <si>
    <t>Percentage of Ki67+ CMs with 1, 2, and ≥3 nuclei</t>
  </si>
  <si>
    <t>% of ClCasp3+ CMs (Flow cytometry)</t>
  </si>
  <si>
    <t>Beat-to-beat interval (ms)</t>
  </si>
  <si>
    <t>5000 ms</t>
  </si>
  <si>
    <t>2000 ms</t>
  </si>
  <si>
    <t>1000 ms</t>
  </si>
  <si>
    <t>666,66 ms</t>
  </si>
  <si>
    <t>D22</t>
  </si>
  <si>
    <t>Beat to beat intervall (ms)</t>
  </si>
  <si>
    <t>NORMALIZED TO mean D7</t>
  </si>
  <si>
    <t>Mean D7= 0,67</t>
  </si>
  <si>
    <t>Input data Fig. 6F</t>
  </si>
  <si>
    <t>CTRL 2</t>
  </si>
  <si>
    <t>CTRL 1</t>
  </si>
  <si>
    <t xml:space="preserve">% overall paceability </t>
  </si>
  <si>
    <t>cell number</t>
  </si>
  <si>
    <t xml:space="preserve">1= response to stimulus </t>
  </si>
  <si>
    <t>1 Hz</t>
  </si>
  <si>
    <t>1.5 Hz</t>
  </si>
  <si>
    <t>2.0 Hz</t>
  </si>
  <si>
    <t>Ca_stim</t>
  </si>
  <si>
    <t>CTR1 n3</t>
  </si>
  <si>
    <t>Input data Fig. 6H</t>
  </si>
  <si>
    <t>left panel</t>
  </si>
  <si>
    <t>paceableCMs</t>
  </si>
  <si>
    <t xml:space="preserve">total CMs </t>
  </si>
  <si>
    <t>% of paceable CMs</t>
  </si>
  <si>
    <t>64 , 56</t>
  </si>
  <si>
    <t>right panel</t>
  </si>
  <si>
    <t xml:space="preserve">1=response to stimulus </t>
  </si>
  <si>
    <t>CTRL1  n1</t>
  </si>
  <si>
    <t>cell</t>
  </si>
  <si>
    <t>CTRL1  n3</t>
  </si>
  <si>
    <t>CTRL2 n1</t>
  </si>
  <si>
    <t>CTRL2 n2</t>
  </si>
  <si>
    <t>CTRL2 n3</t>
  </si>
  <si>
    <t>F (3, 52) = 3,539</t>
  </si>
  <si>
    <t>P=0,0208</t>
  </si>
  <si>
    <t>F (3, 52) = 3,662</t>
  </si>
  <si>
    <t>P=0,0181</t>
  </si>
  <si>
    <t>F (1, 52) = 16,45</t>
  </si>
  <si>
    <t>P=0,0002</t>
  </si>
  <si>
    <t>Sidak's multiple comparisons test</t>
  </si>
  <si>
    <t>-47,64 to 36,02</t>
  </si>
  <si>
    <t>-17,38 to 66,27</t>
  </si>
  <si>
    <t>7,139 to 90,80</t>
  </si>
  <si>
    <t>22,09 to 105,8</t>
  </si>
  <si>
    <t>1 .0 Hz</t>
  </si>
  <si>
    <t>CTRL vs HLHS</t>
  </si>
  <si>
    <t xml:space="preserve">cell number </t>
  </si>
  <si>
    <t>Input data Fig. 6I</t>
  </si>
  <si>
    <t>69 , 51</t>
  </si>
  <si>
    <t>CTRL1 n3</t>
  </si>
  <si>
    <t>CTRL1 n2</t>
  </si>
  <si>
    <t>CTRL1 n1</t>
  </si>
  <si>
    <t>F (3, 52) = 5,042</t>
  </si>
  <si>
    <t>P=0,0038</t>
  </si>
  <si>
    <t>F (3, 52) = 7,030</t>
  </si>
  <si>
    <t>P=0,0005</t>
  </si>
  <si>
    <t>F (1, 52) = 28,17</t>
  </si>
  <si>
    <t>-36,71 to 32,93</t>
  </si>
  <si>
    <t>-6,726 to 62,92</t>
  </si>
  <si>
    <t>12,70 to 82,35</t>
  </si>
  <si>
    <t>34,71 to 104,4</t>
  </si>
  <si>
    <t>Ca_Amplitu</t>
  </si>
  <si>
    <t>Input data Fig. 6J</t>
  </si>
  <si>
    <t>% responding CMs</t>
  </si>
  <si>
    <t>Average Calcium amplitude</t>
  </si>
  <si>
    <t>F (2, 33) = 0,5640</t>
  </si>
  <si>
    <t>P=0,5743</t>
  </si>
  <si>
    <t>F (2, 33) = 11,67</t>
  </si>
  <si>
    <t>P=0,0001</t>
  </si>
  <si>
    <t>F (1, 33) = 12,34</t>
  </si>
  <si>
    <t>P=0,0013</t>
  </si>
  <si>
    <t>-0,08162 to 0,2493</t>
  </si>
  <si>
    <t>-0,009261 to 0,3400</t>
  </si>
  <si>
    <t>-0,01107 to 0,3691</t>
  </si>
  <si>
    <t>left panel: D12</t>
  </si>
  <si>
    <t>F (2, 37) = 14,76</t>
  </si>
  <si>
    <t>F (2, 37) = 0,1073</t>
  </si>
  <si>
    <t>P=0,8985</t>
  </si>
  <si>
    <t>F (1, 37) = 31,54</t>
  </si>
  <si>
    <t>-0,2723 to 0,1277</t>
  </si>
  <si>
    <t>0,1149 to 0,5149</t>
  </si>
  <si>
    <t>0,3389 to 0,7610</t>
  </si>
  <si>
    <t>Ca_Diast F/F0</t>
  </si>
  <si>
    <t>Diastolic Calcium (F/F0)</t>
  </si>
  <si>
    <t>CTR D24</t>
  </si>
  <si>
    <t>HLHS D24</t>
  </si>
  <si>
    <t>Minimum</t>
  </si>
  <si>
    <t>Q1</t>
  </si>
  <si>
    <t>Median</t>
  </si>
  <si>
    <t>Q3</t>
  </si>
  <si>
    <t>Maximum</t>
  </si>
  <si>
    <t>Q1-Minimum</t>
  </si>
  <si>
    <t>Median-Q1</t>
  </si>
  <si>
    <t>Q3-Median</t>
  </si>
  <si>
    <t>Maximum-Q3</t>
  </si>
  <si>
    <t>&lt; 0,0001</t>
  </si>
  <si>
    <t>Diastolic Calcium levels at 0.5Hz and 1.5Hz pacing frequency</t>
  </si>
  <si>
    <t xml:space="preserve">CTRL </t>
  </si>
  <si>
    <t xml:space="preserve">HLHS </t>
  </si>
  <si>
    <t>4186 , 8855</t>
  </si>
  <si>
    <t>3556 , 4573</t>
  </si>
  <si>
    <t>Statistics</t>
  </si>
  <si>
    <t>Chi2 Test</t>
  </si>
  <si>
    <t>Chi2</t>
  </si>
  <si>
    <t>HLHS1 vs. CTRL</t>
  </si>
  <si>
    <t>HLHS2 vs. CTRL</t>
  </si>
  <si>
    <t>HLHS3 vs. CTRL</t>
  </si>
  <si>
    <t>Percentage of 3D patches responding to stimulation at 0.2Hz, 0.5Hz, 1.0Hz and 1.5 Hz pacing rates on D7, D15, and D24</t>
  </si>
  <si>
    <t>FFR of 3D patches on D7, D15, and D22</t>
  </si>
  <si>
    <t>Percentage of paceable CMs on D24</t>
  </si>
  <si>
    <t xml:space="preserve">Percentage of CMs positive for ClCaspase 3 and TUNEL on D12 and D24 </t>
  </si>
  <si>
    <t>Percentage of CMs expressing p53 and ClCasp3 on D24</t>
  </si>
  <si>
    <t>Percentage of CMs positive for PH3 and Ki67 on D12 and D24</t>
  </si>
  <si>
    <t>Percentage of nuclei positive for PH3 and Ki67 in mono-, di-, tri- or tetra-nucleated CMs on D24</t>
  </si>
  <si>
    <t>cell line</t>
  </si>
  <si>
    <t>% MLC2a+v+ D12</t>
  </si>
  <si>
    <t>% MLC2a+v+ D24</t>
  </si>
  <si>
    <t>CTRL n7</t>
  </si>
  <si>
    <t>% MLC2a+ D12</t>
  </si>
  <si>
    <t>% MLC2v+ D12</t>
  </si>
  <si>
    <t>% MLC2a+ D24</t>
  </si>
  <si>
    <t>% MLC2v+ D24</t>
  </si>
  <si>
    <t>Percentage of paceable CMs at different pacing rates at D12</t>
  </si>
  <si>
    <t>Percentage of paceable CMs at D12</t>
  </si>
  <si>
    <t>Percentage of paceable CMs at differnt pacing rates at D24</t>
  </si>
  <si>
    <t>right panel: D24</t>
  </si>
  <si>
    <t>CTR1 n1</t>
  </si>
  <si>
    <t>CTR1 n2</t>
  </si>
  <si>
    <t>Patch</t>
  </si>
  <si>
    <t>CTR2 n1</t>
  </si>
  <si>
    <t>CTR2 n2</t>
  </si>
  <si>
    <t>CTR2 n3</t>
  </si>
  <si>
    <t xml:space="preserve">HLHS3 n1 </t>
  </si>
  <si>
    <t xml:space="preserve">Paceability of single cells within 3D patches at 0.5Hz, 1.0Hz, 1.5Hz and 2.0Hz on D12 </t>
  </si>
  <si>
    <t>Contractile force (mN) of 3D patches on D7, D10, D12, D15, D18, D20, and D24</t>
  </si>
  <si>
    <t xml:space="preserve">Paceability of single cells within 3D patches at 0.5Hz, 1.0Hz, 1.5Hz and 2.0Hz on D24 </t>
  </si>
  <si>
    <t>Calcium transient amplitude on D12 and D24</t>
  </si>
  <si>
    <t>Gene expression analysis in CMs on D30 and D60</t>
  </si>
  <si>
    <t>Table Analyzed</t>
  </si>
  <si>
    <t>Two-way RM ANOVA</t>
  </si>
  <si>
    <t>Matching: Stacked</t>
  </si>
  <si>
    <t>Assume sphericity?</t>
  </si>
  <si>
    <t>SS</t>
  </si>
  <si>
    <t>F (18, 96) = 12,68</t>
  </si>
  <si>
    <t>F (1,959, 31,34) = 1,294</t>
  </si>
  <si>
    <t>P=0,2879</t>
  </si>
  <si>
    <t>F (3, 16) = 11,83</t>
  </si>
  <si>
    <t>F (16, 96) = 33,10</t>
  </si>
  <si>
    <t>Data summary</t>
  </si>
  <si>
    <t>Number of columns (Column Factor)</t>
  </si>
  <si>
    <t>Number of rows (Time)</t>
  </si>
  <si>
    <t>Number of subjects (Subject)</t>
  </si>
  <si>
    <t>Number of missing values</t>
  </si>
  <si>
    <t>Within each row, compare columns (simple effects within rows)</t>
  </si>
  <si>
    <t>Number of families</t>
  </si>
  <si>
    <t>Number of comparisons per family</t>
  </si>
  <si>
    <t>0,06719 to 0,5745</t>
  </si>
  <si>
    <t>0,06718 to 0,5745</t>
  </si>
  <si>
    <t>0,06359 to 0,5714</t>
  </si>
  <si>
    <t>0,08335 to 0,6450</t>
  </si>
  <si>
    <t>0,09896 to 0,6627</t>
  </si>
  <si>
    <t>0,08085 to 0,6408</t>
  </si>
  <si>
    <t>0,07569 to 0,7801</t>
  </si>
  <si>
    <t>0,09067 to 0,7952</t>
  </si>
  <si>
    <t>0,09694 to 0,7989</t>
  </si>
  <si>
    <t>0,1449 to 0,9909</t>
  </si>
  <si>
    <t>0,1869 to 1,026</t>
  </si>
  <si>
    <t>0,1856 to 1,024</t>
  </si>
  <si>
    <t>0,2672 to 1,181</t>
  </si>
  <si>
    <t>0,3065 to 1,219</t>
  </si>
  <si>
    <t>0,2682 to 1,180</t>
  </si>
  <si>
    <t>0,4169 to 1,345</t>
  </si>
  <si>
    <t>0,5019 to 1,426</t>
  </si>
  <si>
    <t>0,4950 to 1,420</t>
  </si>
  <si>
    <t>0,5089 to 1,681</t>
  </si>
  <si>
    <t>0,5857 to 1,758</t>
  </si>
  <si>
    <t>0,5690 to 1,741</t>
  </si>
  <si>
    <t>Mean 1</t>
  </si>
  <si>
    <t>Mean 2</t>
  </si>
  <si>
    <t>0.2 Hz d7</t>
  </si>
  <si>
    <t>0.2 Hz d15</t>
  </si>
  <si>
    <t>0.2 Hz d24</t>
  </si>
  <si>
    <t>P value and statistical significance</t>
  </si>
  <si>
    <t>Test</t>
  </si>
  <si>
    <t>Fisher's exact test</t>
  </si>
  <si>
    <t>One- or two-sided</t>
  </si>
  <si>
    <t>Two-sided</t>
  </si>
  <si>
    <t>Statistically significant (P &lt; 0.05)?</t>
  </si>
  <si>
    <t>0.5 Hz d7</t>
  </si>
  <si>
    <t>0.5 Hz d15</t>
  </si>
  <si>
    <t>0.5 Hz d24</t>
  </si>
  <si>
    <t>1 Hz d7</t>
  </si>
  <si>
    <t>1 Hz d15</t>
  </si>
  <si>
    <t>1 Hz d24</t>
  </si>
  <si>
    <t>1.5 Hz d7</t>
  </si>
  <si>
    <t>1.5 Hz d15</t>
  </si>
  <si>
    <t>1.5 Hz d24</t>
  </si>
  <si>
    <t>Mixed-effects model (REML)</t>
  </si>
  <si>
    <t>Random effects</t>
  </si>
  <si>
    <t>SD</t>
  </si>
  <si>
    <t>Variance</t>
  </si>
  <si>
    <t>Was the matching effective?</t>
  </si>
  <si>
    <t>Chi-square, df</t>
  </si>
  <si>
    <t>Is there significant matching (P &lt; 0.05)?</t>
  </si>
  <si>
    <t>CTRL d7 vs. CTRL d15</t>
  </si>
  <si>
    <t>-0,5163 to 0,09229</t>
  </si>
  <si>
    <t>CTRL d7 vs. CTRL d22</t>
  </si>
  <si>
    <t>-0,7182 to 0,01673</t>
  </si>
  <si>
    <t>CTRL d7 vs. HLHS d7</t>
  </si>
  <si>
    <t>-0,003735 to 0,5506</t>
  </si>
  <si>
    <t>CTRL d7 vs. HLHS d15</t>
  </si>
  <si>
    <t>0,03314 to 0,5738</t>
  </si>
  <si>
    <t>CTRL d7 vs. HLHS d22</t>
  </si>
  <si>
    <t>0,2300 to 0,7769</t>
  </si>
  <si>
    <t>-0,4474 to 0,1196</t>
  </si>
  <si>
    <t>-0,7165 to -0,01384</t>
  </si>
  <si>
    <t>0,1256 to 0,5195</t>
  </si>
  <si>
    <t>0,1500 to 0,5453</t>
  </si>
  <si>
    <t>0,3246 to 0,7192</t>
  </si>
  <si>
    <t>-0,5568 to 0,09927</t>
  </si>
  <si>
    <t>-0,8309 to -0,1066</t>
  </si>
  <si>
    <t>0,1288 to 0,5017</t>
  </si>
  <si>
    <t>0,1298 to 0,5119</t>
  </si>
  <si>
    <t>0,3811 to 0,7539</t>
  </si>
  <si>
    <t>666.66 ms</t>
  </si>
  <si>
    <t>Day 22</t>
  </si>
  <si>
    <t>F (1,337, 43,22) = 0,2087</t>
  </si>
  <si>
    <t>F (5, 51) = 56,70</t>
  </si>
  <si>
    <t>F (15, 97) = 1,313</t>
  </si>
  <si>
    <t>42,17, 1</t>
  </si>
  <si>
    <t>Below threshold?</t>
  </si>
  <si>
    <t>-0,6393 to 0,03069</t>
  </si>
  <si>
    <t>-0,9550 to -0,1307</t>
  </si>
  <si>
    <t>0,1423 to 0,5805</t>
  </si>
  <si>
    <t>0,09139 to 0,5248</t>
  </si>
  <si>
    <t>0,4240 to 0,8588</t>
  </si>
  <si>
    <t>Input data Suppl. Fig. IIIA</t>
  </si>
  <si>
    <t>Input data Suppl. Fig. IVE</t>
  </si>
  <si>
    <t>Input data Suppl. Fig. VE</t>
  </si>
  <si>
    <t>Input data Suppl. Fig. VIC</t>
  </si>
  <si>
    <t>Input data Suppl. Fig. VIIB</t>
  </si>
  <si>
    <t>Input data Suppl. Fig. VIIC</t>
  </si>
  <si>
    <t>Input data Suppl. Fig. VIID</t>
  </si>
  <si>
    <t>Input data Suppl. Fig. VIIE</t>
  </si>
  <si>
    <t>Input data Suppl. Fig. VIIF</t>
  </si>
  <si>
    <t>Input data Suppl. Fig. VIIG</t>
  </si>
  <si>
    <t>Input data Suppl. Fig. VIIH</t>
  </si>
  <si>
    <t>Input data Suppl. Fig. VIII</t>
  </si>
  <si>
    <t>Input data Suppl. Fig. XIC</t>
  </si>
  <si>
    <t>Input data Suppl. Fig. XID</t>
  </si>
  <si>
    <t>Input data Suppl. Fig. XIE</t>
  </si>
  <si>
    <t>Input data Suppl. Fig. XIF</t>
  </si>
  <si>
    <t>Input data Suppl. Fig. XIIB</t>
  </si>
  <si>
    <t>Input data Suppl. Fig. XIIC</t>
  </si>
  <si>
    <t>Input data Suppl. Fig. XIIE top</t>
  </si>
  <si>
    <t>Input data Suppl. Fig. XIIE bottom</t>
  </si>
  <si>
    <t>Input data Suppl. Fig. XIIF</t>
  </si>
  <si>
    <t>Input data Suppl. Fig. XIIG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</si>
</sst>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"/>
    <numFmt numFmtId="165" formatCode="0.0000"/>
    <numFmt numFmtId="166" formatCode="0.0000000"/>
    <numFmt numFmtId="167" formatCode="0.00000"/>
    <numFmt numFmtId="168" formatCode="0.000000"/>
    <numFmt numFmtId="169" formatCode="0.000000000"/>
    <numFmt numFmtId="170" formatCode="0.0"/>
  </numFmts>
  <fonts count="5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sz val="14"/>
      <color theme="1"/>
      <name val="Arial"/>
      <family val="2"/>
    </font>
    <font>
      <b/>
      <sz val="12"/>
      <name val="Arial"/>
      <family val="2"/>
    </font>
    <font>
      <i/>
      <sz val="11"/>
      <name val="Arial"/>
      <family val="2"/>
    </font>
    <font>
      <b/>
      <i/>
      <sz val="11"/>
      <color theme="1"/>
      <name val="Arial"/>
      <family val="2"/>
    </font>
    <font>
      <i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vertAlign val="superscript"/>
      <sz val="11"/>
      <color theme="1"/>
      <name val="Arial"/>
      <family val="2"/>
    </font>
    <font>
      <vertAlign val="superscript"/>
      <sz val="14"/>
      <color theme="1"/>
      <name val="Arial"/>
      <family val="2"/>
    </font>
    <font>
      <vertAlign val="subscript"/>
      <sz val="14"/>
      <color theme="1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Arial"/>
      <family val="2"/>
    </font>
    <font>
      <b/>
      <sz val="10"/>
      <name val="Arial"/>
      <family val="2"/>
    </font>
    <font>
      <b/>
      <sz val="11"/>
      <color rgb="FF000000"/>
      <name val="Arial"/>
      <family val="2"/>
    </font>
    <font>
      <sz val="12"/>
      <name val="Arial"/>
      <family val="2"/>
    </font>
    <font>
      <b/>
      <sz val="12"/>
      <color rgb="FF000000"/>
      <name val="Calibri"/>
      <family val="2"/>
    </font>
    <font>
      <sz val="12"/>
      <color theme="1"/>
      <name val="Calibri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4"/>
      <color theme="1"/>
      <name val="Arial"/>
      <family val="2"/>
    </font>
    <font>
      <i/>
      <sz val="11"/>
      <color rgb="FF000000"/>
      <name val="Arial"/>
      <family val="2"/>
    </font>
    <font>
      <sz val="12"/>
      <color rgb="FF000000"/>
      <name val="Calibri"/>
      <family val="2"/>
    </font>
    <font>
      <sz val="12"/>
      <color rgb="FF333333"/>
      <name val="Calibri"/>
      <family val="2"/>
    </font>
    <font>
      <b/>
      <sz val="12"/>
      <color theme="1"/>
      <name val="Calibri"/>
      <family val="2"/>
      <charset val="129"/>
      <scheme val="minor"/>
    </font>
    <font>
      <b/>
      <sz val="12"/>
      <color rgb="FF333333"/>
      <name val="Calibri"/>
      <family val="2"/>
    </font>
    <font>
      <sz val="14"/>
      <color rgb="FF333333"/>
      <name val="Helvetica Neue"/>
      <family val="2"/>
    </font>
    <font>
      <b/>
      <sz val="12"/>
      <color theme="1"/>
      <name val="Calibri"/>
      <family val="2"/>
    </font>
    <font>
      <sz val="11"/>
      <color rgb="FF333333"/>
      <name val="Arial"/>
      <family val="2"/>
    </font>
    <font>
      <b/>
      <sz val="11"/>
      <color rgb="FF333333"/>
      <name val="Arial"/>
      <family val="2"/>
    </font>
    <font>
      <i/>
      <sz val="12"/>
      <color theme="1"/>
      <name val="Calibri"/>
      <family val="2"/>
    </font>
    <font>
      <sz val="12"/>
      <name val="Calibri"/>
      <family val="2"/>
    </font>
    <font>
      <sz val="12"/>
      <color rgb="FF333333"/>
      <name val="Calibri"/>
      <family val="2"/>
      <scheme val="minor"/>
    </font>
    <font>
      <b/>
      <sz val="12"/>
      <name val="Calibri"/>
      <family val="2"/>
    </font>
    <font>
      <i/>
      <sz val="11"/>
      <color rgb="FF333333"/>
      <name val="Arial"/>
      <family val="2"/>
    </font>
    <font>
      <i/>
      <sz val="12"/>
      <color theme="1"/>
      <name val="Calibri"/>
      <family val="2"/>
      <scheme val="minor"/>
    </font>
    <font>
      <i/>
      <sz val="12"/>
      <color rgb="FF333333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theme="4" tint="0.3999755851924192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4" tint="0.3999755851924192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auto="1"/>
      </right>
      <top/>
      <bottom style="thin">
        <color theme="4" tint="0.3999755851924192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06">
    <xf numFmtId="0" fontId="0" fillId="0" borderId="0"/>
    <xf numFmtId="0" fontId="9" fillId="0" borderId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</cellStyleXfs>
  <cellXfs count="543">
    <xf numFmtId="0" fontId="0" fillId="0" borderId="0" xfId="0"/>
    <xf numFmtId="0" fontId="5" fillId="0" borderId="0" xfId="0" applyFont="1"/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1" xfId="0" applyFont="1" applyBorder="1"/>
    <xf numFmtId="0" fontId="0" fillId="0" borderId="1" xfId="0" applyBorder="1"/>
    <xf numFmtId="0" fontId="5" fillId="0" borderId="0" xfId="0" applyFont="1" applyBorder="1" applyAlignment="1">
      <alignment horizontal="left"/>
    </xf>
    <xf numFmtId="0" fontId="5" fillId="0" borderId="0" xfId="0" applyFont="1" applyBorder="1"/>
    <xf numFmtId="0" fontId="6" fillId="3" borderId="0" xfId="0" applyFont="1" applyFill="1"/>
    <xf numFmtId="0" fontId="6" fillId="0" borderId="0" xfId="0" applyFont="1"/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0" fontId="11" fillId="2" borderId="1" xfId="0" applyFont="1" applyFill="1" applyBorder="1" applyAlignment="1">
      <alignment horizontal="center"/>
    </xf>
    <xf numFmtId="2" fontId="6" fillId="0" borderId="1" xfId="0" applyNumberFormat="1" applyFont="1" applyBorder="1"/>
    <xf numFmtId="0" fontId="13" fillId="3" borderId="0" xfId="0" applyFont="1" applyFill="1"/>
    <xf numFmtId="0" fontId="14" fillId="0" borderId="0" xfId="0" applyFont="1" applyAlignment="1">
      <alignment horizontal="left"/>
    </xf>
    <xf numFmtId="0" fontId="7" fillId="0" borderId="0" xfId="0" applyFont="1"/>
    <xf numFmtId="0" fontId="6" fillId="0" borderId="1" xfId="0" applyFont="1" applyBorder="1"/>
    <xf numFmtId="0" fontId="7" fillId="2" borderId="1" xfId="0" applyFont="1" applyFill="1" applyBorder="1" applyAlignment="1">
      <alignment horizontal="center"/>
    </xf>
    <xf numFmtId="0" fontId="13" fillId="2" borderId="0" xfId="0" applyFont="1" applyFill="1" applyAlignment="1">
      <alignment horizontal="left"/>
    </xf>
    <xf numFmtId="0" fontId="6" fillId="2" borderId="0" xfId="0" applyFont="1" applyFill="1"/>
    <xf numFmtId="0" fontId="11" fillId="0" borderId="0" xfId="0" applyFont="1" applyFill="1" applyBorder="1"/>
    <xf numFmtId="0" fontId="7" fillId="2" borderId="5" xfId="0" applyFont="1" applyFill="1" applyBorder="1" applyAlignment="1">
      <alignment horizontal="center"/>
    </xf>
    <xf numFmtId="0" fontId="7" fillId="0" borderId="0" xfId="0" applyFont="1" applyBorder="1"/>
    <xf numFmtId="0" fontId="7" fillId="0" borderId="7" xfId="0" applyFont="1" applyBorder="1"/>
    <xf numFmtId="0" fontId="15" fillId="0" borderId="1" xfId="0" applyFont="1" applyBorder="1" applyAlignment="1">
      <alignment horizontal="left"/>
    </xf>
    <xf numFmtId="0" fontId="16" fillId="0" borderId="1" xfId="0" applyFont="1" applyBorder="1"/>
    <xf numFmtId="0" fontId="10" fillId="0" borderId="0" xfId="0" applyFont="1"/>
    <xf numFmtId="0" fontId="17" fillId="0" borderId="0" xfId="0" applyFont="1"/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12" fillId="0" borderId="6" xfId="0" applyFont="1" applyBorder="1" applyAlignment="1">
      <alignment horizontal="center"/>
    </xf>
    <xf numFmtId="0" fontId="10" fillId="0" borderId="1" xfId="0" applyFont="1" applyBorder="1"/>
    <xf numFmtId="164" fontId="5" fillId="0" borderId="0" xfId="0" applyNumberFormat="1" applyFont="1"/>
    <xf numFmtId="0" fontId="11" fillId="0" borderId="0" xfId="0" applyFont="1" applyBorder="1"/>
    <xf numFmtId="0" fontId="12" fillId="0" borderId="0" xfId="0" applyFont="1" applyBorder="1" applyAlignment="1">
      <alignment horizontal="center"/>
    </xf>
    <xf numFmtId="0" fontId="15" fillId="0" borderId="0" xfId="0" applyFont="1" applyBorder="1" applyAlignment="1">
      <alignment horizontal="left"/>
    </xf>
    <xf numFmtId="2" fontId="5" fillId="0" borderId="1" xfId="0" applyNumberFormat="1" applyFont="1" applyBorder="1"/>
    <xf numFmtId="2" fontId="5" fillId="0" borderId="0" xfId="0" applyNumberFormat="1" applyFont="1" applyBorder="1"/>
    <xf numFmtId="0" fontId="0" fillId="2" borderId="0" xfId="0" applyFill="1"/>
    <xf numFmtId="0" fontId="6" fillId="0" borderId="0" xfId="0" applyFont="1" applyFill="1"/>
    <xf numFmtId="165" fontId="6" fillId="0" borderId="1" xfId="0" applyNumberFormat="1" applyFont="1" applyBorder="1"/>
    <xf numFmtId="0" fontId="12" fillId="0" borderId="2" xfId="0" applyFont="1" applyBorder="1" applyAlignment="1">
      <alignment horizontal="center"/>
    </xf>
    <xf numFmtId="166" fontId="6" fillId="0" borderId="1" xfId="0" applyNumberFormat="1" applyFont="1" applyBorder="1"/>
    <xf numFmtId="0" fontId="5" fillId="0" borderId="0" xfId="0" applyFont="1" applyAlignment="1">
      <alignment horizontal="right"/>
    </xf>
    <xf numFmtId="0" fontId="18" fillId="0" borderId="0" xfId="0" applyFont="1"/>
    <xf numFmtId="0" fontId="6" fillId="0" borderId="0" xfId="0" applyFont="1" applyAlignment="1">
      <alignment horizontal="right"/>
    </xf>
    <xf numFmtId="0" fontId="5" fillId="0" borderId="0" xfId="0" applyFont="1" applyFill="1"/>
    <xf numFmtId="0" fontId="5" fillId="0" borderId="0" xfId="0" applyFont="1" applyFill="1" applyAlignment="1">
      <alignment horizontal="right"/>
    </xf>
    <xf numFmtId="0" fontId="6" fillId="0" borderId="2" xfId="0" applyFont="1" applyBorder="1"/>
    <xf numFmtId="0" fontId="11" fillId="0" borderId="0" xfId="0" applyFont="1"/>
    <xf numFmtId="0" fontId="13" fillId="3" borderId="0" xfId="0" applyFont="1" applyFill="1" applyAlignment="1">
      <alignment horizontal="left"/>
    </xf>
    <xf numFmtId="0" fontId="5" fillId="0" borderId="1" xfId="0" applyFont="1" applyFill="1" applyBorder="1"/>
    <xf numFmtId="0" fontId="6" fillId="0" borderId="1" xfId="0" applyFont="1" applyFill="1" applyBorder="1"/>
    <xf numFmtId="0" fontId="13" fillId="4" borderId="0" xfId="0" applyFont="1" applyFill="1"/>
    <xf numFmtId="0" fontId="0" fillId="4" borderId="0" xfId="0" applyFill="1"/>
    <xf numFmtId="0" fontId="0" fillId="0" borderId="0" xfId="0" applyFill="1" applyBorder="1"/>
    <xf numFmtId="0" fontId="11" fillId="0" borderId="1" xfId="0" applyFont="1" applyFill="1" applyBorder="1"/>
    <xf numFmtId="0" fontId="11" fillId="0" borderId="1" xfId="0" applyFont="1" applyFill="1" applyBorder="1" applyAlignment="1">
      <alignment horizontal="right"/>
    </xf>
    <xf numFmtId="0" fontId="7" fillId="0" borderId="1" xfId="0" applyFont="1" applyFill="1" applyBorder="1"/>
    <xf numFmtId="0" fontId="6" fillId="0" borderId="1" xfId="0" applyFont="1" applyFill="1" applyBorder="1" applyAlignment="1">
      <alignment horizontal="right"/>
    </xf>
    <xf numFmtId="0" fontId="7" fillId="0" borderId="0" xfId="0" applyFont="1" applyFill="1" applyBorder="1"/>
    <xf numFmtId="0" fontId="6" fillId="0" borderId="0" xfId="0" applyFont="1" applyFill="1" applyBorder="1"/>
    <xf numFmtId="0" fontId="6" fillId="0" borderId="0" xfId="0" applyFont="1" applyFill="1" applyBorder="1" applyAlignment="1">
      <alignment horizontal="right"/>
    </xf>
    <xf numFmtId="0" fontId="0" fillId="0" borderId="0" xfId="0" applyFill="1"/>
    <xf numFmtId="0" fontId="20" fillId="0" borderId="0" xfId="0" applyFont="1" applyFill="1"/>
    <xf numFmtId="0" fontId="6" fillId="0" borderId="0" xfId="0" applyFont="1" applyBorder="1"/>
    <xf numFmtId="0" fontId="11" fillId="0" borderId="1" xfId="0" applyFont="1" applyBorder="1" applyAlignment="1">
      <alignment horizontal="right"/>
    </xf>
    <xf numFmtId="166" fontId="6" fillId="0" borderId="1" xfId="0" applyNumberFormat="1" applyFont="1" applyFill="1" applyBorder="1"/>
    <xf numFmtId="166" fontId="6" fillId="0" borderId="1" xfId="0" applyNumberFormat="1" applyFont="1" applyFill="1" applyBorder="1" applyAlignment="1">
      <alignment horizontal="right"/>
    </xf>
    <xf numFmtId="165" fontId="6" fillId="0" borderId="1" xfId="0" applyNumberFormat="1" applyFont="1" applyFill="1" applyBorder="1"/>
    <xf numFmtId="164" fontId="6" fillId="0" borderId="1" xfId="0" applyNumberFormat="1" applyFont="1" applyFill="1" applyBorder="1"/>
    <xf numFmtId="165" fontId="6" fillId="0" borderId="1" xfId="0" applyNumberFormat="1" applyFont="1" applyFill="1" applyBorder="1" applyAlignment="1">
      <alignment horizontal="right"/>
    </xf>
    <xf numFmtId="2" fontId="6" fillId="0" borderId="1" xfId="0" applyNumberFormat="1" applyFont="1" applyFill="1" applyBorder="1" applyAlignment="1">
      <alignment horizontal="right"/>
    </xf>
    <xf numFmtId="0" fontId="19" fillId="0" borderId="0" xfId="0" applyFont="1"/>
    <xf numFmtId="0" fontId="0" fillId="0" borderId="0" xfId="0" applyFont="1"/>
    <xf numFmtId="0" fontId="0" fillId="0" borderId="0" xfId="0" applyBorder="1"/>
    <xf numFmtId="166" fontId="6" fillId="0" borderId="0" xfId="0" applyNumberFormat="1" applyFont="1" applyFill="1" applyBorder="1"/>
    <xf numFmtId="0" fontId="13" fillId="0" borderId="0" xfId="0" applyFont="1" applyFill="1" applyAlignment="1">
      <alignment horizontal="left"/>
    </xf>
    <xf numFmtId="0" fontId="11" fillId="5" borderId="5" xfId="0" applyFont="1" applyFill="1" applyBorder="1" applyAlignment="1">
      <alignment horizontal="right"/>
    </xf>
    <xf numFmtId="167" fontId="6" fillId="0" borderId="1" xfId="0" applyNumberFormat="1" applyFont="1" applyBorder="1"/>
    <xf numFmtId="1" fontId="6" fillId="0" borderId="1" xfId="0" applyNumberFormat="1" applyFont="1" applyBorder="1"/>
    <xf numFmtId="2" fontId="6" fillId="0" borderId="0" xfId="0" applyNumberFormat="1" applyFont="1" applyBorder="1"/>
    <xf numFmtId="167" fontId="6" fillId="0" borderId="1" xfId="0" applyNumberFormat="1" applyFont="1" applyFill="1" applyBorder="1"/>
    <xf numFmtId="0" fontId="8" fillId="0" borderId="0" xfId="0" applyFont="1"/>
    <xf numFmtId="0" fontId="7" fillId="0" borderId="0" xfId="0" applyFont="1" applyAlignment="1">
      <alignment horizontal="left" vertical="top"/>
    </xf>
    <xf numFmtId="2" fontId="21" fillId="0" borderId="0" xfId="0" applyNumberFormat="1" applyFont="1" applyFill="1" applyBorder="1"/>
    <xf numFmtId="2" fontId="19" fillId="0" borderId="0" xfId="0" applyNumberFormat="1" applyFont="1" applyFill="1" applyBorder="1"/>
    <xf numFmtId="168" fontId="19" fillId="0" borderId="0" xfId="0" applyNumberFormat="1" applyFont="1" applyFill="1" applyBorder="1"/>
    <xf numFmtId="2" fontId="0" fillId="0" borderId="0" xfId="0" applyNumberFormat="1" applyFill="1" applyBorder="1"/>
    <xf numFmtId="0" fontId="7" fillId="0" borderId="0" xfId="0" applyFont="1" applyAlignment="1">
      <alignment horizontal="right"/>
    </xf>
    <xf numFmtId="0" fontId="13" fillId="0" borderId="0" xfId="0" applyFont="1" applyFill="1"/>
    <xf numFmtId="0" fontId="6" fillId="0" borderId="1" xfId="0" applyFont="1" applyBorder="1" applyAlignment="1">
      <alignment horizontal="right"/>
    </xf>
    <xf numFmtId="0" fontId="0" fillId="0" borderId="0" xfId="0" applyAlignment="1">
      <alignment horizontal="right"/>
    </xf>
    <xf numFmtId="169" fontId="0" fillId="0" borderId="0" xfId="0" applyNumberFormat="1" applyBorder="1"/>
    <xf numFmtId="166" fontId="6" fillId="0" borderId="0" xfId="0" applyNumberFormat="1" applyFont="1" applyBorder="1"/>
    <xf numFmtId="0" fontId="19" fillId="0" borderId="0" xfId="0" applyFont="1" applyFill="1"/>
    <xf numFmtId="0" fontId="0" fillId="0" borderId="0" xfId="0" applyFill="1" applyAlignment="1">
      <alignment horizontal="right"/>
    </xf>
    <xf numFmtId="0" fontId="11" fillId="0" borderId="0" xfId="0" applyFont="1" applyBorder="1" applyAlignment="1">
      <alignment horizontal="right"/>
    </xf>
    <xf numFmtId="0" fontId="10" fillId="0" borderId="0" xfId="0" applyFont="1" applyFill="1" applyBorder="1"/>
    <xf numFmtId="165" fontId="6" fillId="0" borderId="0" xfId="0" applyNumberFormat="1" applyFont="1"/>
    <xf numFmtId="0" fontId="11" fillId="0" borderId="1" xfId="0" applyFont="1" applyBorder="1"/>
    <xf numFmtId="164" fontId="6" fillId="0" borderId="1" xfId="0" applyNumberFormat="1" applyFont="1" applyBorder="1"/>
    <xf numFmtId="2" fontId="6" fillId="0" borderId="1" xfId="0" applyNumberFormat="1" applyFont="1" applyFill="1" applyBorder="1"/>
    <xf numFmtId="2" fontId="6" fillId="0" borderId="0" xfId="0" applyNumberFormat="1" applyFont="1" applyFill="1" applyBorder="1"/>
    <xf numFmtId="0" fontId="12" fillId="0" borderId="0" xfId="0" applyFont="1" applyBorder="1"/>
    <xf numFmtId="0" fontId="0" fillId="0" borderId="0" xfId="0" applyFont="1" applyFill="1"/>
    <xf numFmtId="0" fontId="26" fillId="0" borderId="0" xfId="0" applyFont="1"/>
    <xf numFmtId="0" fontId="11" fillId="0" borderId="0" xfId="0" applyFont="1" applyFill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0" fontId="8" fillId="0" borderId="0" xfId="0" applyFont="1" applyFill="1"/>
    <xf numFmtId="0" fontId="8" fillId="0" borderId="0" xfId="0" applyFont="1" applyAlignment="1">
      <alignment horizontal="right"/>
    </xf>
    <xf numFmtId="0" fontId="8" fillId="0" borderId="0" xfId="0" applyFont="1" applyFill="1" applyAlignment="1">
      <alignment horizontal="right"/>
    </xf>
    <xf numFmtId="0" fontId="8" fillId="0" borderId="0" xfId="0" applyFont="1" applyAlignment="1">
      <alignment horizontal="left"/>
    </xf>
    <xf numFmtId="0" fontId="7" fillId="0" borderId="5" xfId="0" applyFont="1" applyFill="1" applyBorder="1" applyAlignment="1">
      <alignment horizontal="right"/>
    </xf>
    <xf numFmtId="0" fontId="10" fillId="0" borderId="0" xfId="0" applyFont="1" applyFill="1" applyAlignment="1">
      <alignment horizontal="right"/>
    </xf>
    <xf numFmtId="0" fontId="19" fillId="0" borderId="0" xfId="0" applyFont="1" applyFill="1" applyBorder="1"/>
    <xf numFmtId="0" fontId="4" fillId="0" borderId="0" xfId="0" applyFont="1"/>
    <xf numFmtId="0" fontId="27" fillId="0" borderId="0" xfId="0" applyFont="1"/>
    <xf numFmtId="0" fontId="0" fillId="3" borderId="0" xfId="0" applyFill="1"/>
    <xf numFmtId="1" fontId="5" fillId="0" borderId="1" xfId="0" applyNumberFormat="1" applyFont="1" applyBorder="1"/>
    <xf numFmtId="168" fontId="5" fillId="0" borderId="1" xfId="0" applyNumberFormat="1" applyFont="1" applyBorder="1"/>
    <xf numFmtId="167" fontId="5" fillId="0" borderId="1" xfId="0" applyNumberFormat="1" applyFont="1" applyBorder="1"/>
    <xf numFmtId="168" fontId="0" fillId="0" borderId="0" xfId="0" applyNumberFormat="1"/>
    <xf numFmtId="0" fontId="3" fillId="0" borderId="0" xfId="0" applyFont="1"/>
    <xf numFmtId="1" fontId="0" fillId="0" borderId="0" xfId="0" applyNumberFormat="1"/>
    <xf numFmtId="1" fontId="5" fillId="0" borderId="0" xfId="0" applyNumberFormat="1" applyFont="1" applyBorder="1"/>
    <xf numFmtId="0" fontId="28" fillId="0" borderId="0" xfId="0" applyFont="1" applyFill="1" applyBorder="1"/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29" fillId="0" borderId="0" xfId="0" applyFont="1" applyFill="1" applyAlignment="1">
      <alignment horizontal="left"/>
    </xf>
    <xf numFmtId="0" fontId="18" fillId="0" borderId="0" xfId="0" applyFont="1" applyFill="1"/>
    <xf numFmtId="0" fontId="8" fillId="0" borderId="0" xfId="0" applyFont="1" applyFill="1" applyAlignment="1">
      <alignment horizontal="left"/>
    </xf>
    <xf numFmtId="0" fontId="22" fillId="0" borderId="0" xfId="0" applyFont="1" applyFill="1"/>
    <xf numFmtId="0" fontId="7" fillId="0" borderId="0" xfId="0" applyFont="1" applyFill="1"/>
    <xf numFmtId="0" fontId="11" fillId="0" borderId="0" xfId="0" applyFont="1" applyFill="1"/>
    <xf numFmtId="0" fontId="18" fillId="0" borderId="0" xfId="0" applyFont="1" applyAlignment="1">
      <alignment horizontal="right"/>
    </xf>
    <xf numFmtId="2" fontId="5" fillId="0" borderId="1" xfId="0" applyNumberFormat="1" applyFont="1" applyFill="1" applyBorder="1"/>
    <xf numFmtId="2" fontId="0" fillId="0" borderId="0" xfId="0" applyNumberFormat="1"/>
    <xf numFmtId="1" fontId="5" fillId="0" borderId="0" xfId="0" applyNumberFormat="1" applyFont="1" applyFill="1" applyBorder="1"/>
    <xf numFmtId="0" fontId="7" fillId="0" borderId="0" xfId="0" applyFont="1" applyFill="1" applyBorder="1" applyAlignment="1">
      <alignment horizontal="center"/>
    </xf>
    <xf numFmtId="0" fontId="12" fillId="0" borderId="0" xfId="0" applyFont="1" applyFill="1" applyBorder="1"/>
    <xf numFmtId="0" fontId="3" fillId="0" borderId="0" xfId="0" applyFont="1" applyFill="1"/>
    <xf numFmtId="0" fontId="7" fillId="0" borderId="0" xfId="0" applyFont="1" applyAlignment="1">
      <alignment horizontal="center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/>
    </xf>
    <xf numFmtId="0" fontId="12" fillId="0" borderId="0" xfId="0" applyFont="1"/>
    <xf numFmtId="0" fontId="11" fillId="0" borderId="1" xfId="0" applyFont="1" applyBorder="1" applyAlignment="1">
      <alignment horizontal="center"/>
    </xf>
    <xf numFmtId="0" fontId="11" fillId="2" borderId="4" xfId="0" applyFont="1" applyFill="1" applyBorder="1"/>
    <xf numFmtId="0" fontId="11" fillId="2" borderId="1" xfId="0" applyFont="1" applyFill="1" applyBorder="1"/>
    <xf numFmtId="0" fontId="12" fillId="0" borderId="5" xfId="0" applyFont="1" applyBorder="1" applyAlignment="1">
      <alignment horizontal="center"/>
    </xf>
    <xf numFmtId="0" fontId="30" fillId="0" borderId="0" xfId="0" applyFont="1" applyAlignment="1">
      <alignment horizontal="left" vertical="center" readingOrder="1"/>
    </xf>
    <xf numFmtId="0" fontId="11" fillId="2" borderId="1" xfId="0" applyFont="1" applyFill="1" applyBorder="1" applyAlignment="1">
      <alignment horizontal="center"/>
    </xf>
    <xf numFmtId="0" fontId="2" fillId="0" borderId="0" xfId="0" applyFont="1" applyFill="1"/>
    <xf numFmtId="0" fontId="12" fillId="0" borderId="0" xfId="0" applyFont="1" applyFill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2" fillId="0" borderId="1" xfId="0" applyFont="1" applyFill="1" applyBorder="1"/>
    <xf numFmtId="0" fontId="11" fillId="0" borderId="0" xfId="0" applyFont="1" applyFill="1" applyBorder="1" applyAlignment="1">
      <alignment horizontal="center"/>
    </xf>
    <xf numFmtId="0" fontId="22" fillId="6" borderId="0" xfId="0" applyFont="1" applyFill="1" applyAlignment="1">
      <alignment horizontal="left"/>
    </xf>
    <xf numFmtId="0" fontId="22" fillId="6" borderId="0" xfId="0" applyFont="1" applyFill="1"/>
    <xf numFmtId="0" fontId="10" fillId="6" borderId="0" xfId="0" applyFont="1" applyFill="1"/>
    <xf numFmtId="0" fontId="10" fillId="0" borderId="0" xfId="0" applyFont="1" applyFill="1"/>
    <xf numFmtId="0" fontId="14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vertical="center" wrapText="1"/>
    </xf>
    <xf numFmtId="0" fontId="31" fillId="0" borderId="0" xfId="0" applyFont="1" applyAlignment="1">
      <alignment horizontal="left"/>
    </xf>
    <xf numFmtId="0" fontId="31" fillId="0" borderId="0" xfId="0" applyFont="1"/>
    <xf numFmtId="0" fontId="31" fillId="0" borderId="0" xfId="0" applyFont="1" applyFill="1" applyAlignment="1">
      <alignment horizontal="left"/>
    </xf>
    <xf numFmtId="0" fontId="31" fillId="0" borderId="0" xfId="0" applyFont="1" applyFill="1"/>
    <xf numFmtId="0" fontId="14" fillId="0" borderId="0" xfId="0" applyFont="1" applyFill="1" applyAlignment="1">
      <alignment horizontal="left"/>
    </xf>
    <xf numFmtId="0" fontId="31" fillId="0" borderId="0" xfId="0" applyFont="1" applyAlignment="1">
      <alignment horizontal="right"/>
    </xf>
    <xf numFmtId="0" fontId="11" fillId="0" borderId="2" xfId="0" applyFont="1" applyFill="1" applyBorder="1" applyAlignment="1">
      <alignment horizontal="right"/>
    </xf>
    <xf numFmtId="1" fontId="6" fillId="0" borderId="0" xfId="0" applyNumberFormat="1" applyFont="1" applyFill="1" applyBorder="1"/>
    <xf numFmtId="0" fontId="11" fillId="5" borderId="1" xfId="0" applyFont="1" applyFill="1" applyBorder="1"/>
    <xf numFmtId="0" fontId="12" fillId="0" borderId="2" xfId="0" applyFont="1" applyBorder="1"/>
    <xf numFmtId="0" fontId="35" fillId="0" borderId="0" xfId="0" applyFont="1"/>
    <xf numFmtId="164" fontId="5" fillId="0" borderId="0" xfId="0" applyNumberFormat="1" applyFont="1" applyFill="1"/>
    <xf numFmtId="0" fontId="0" fillId="6" borderId="0" xfId="0" applyFill="1"/>
    <xf numFmtId="0" fontId="0" fillId="0" borderId="1" xfId="0" applyBorder="1" applyAlignment="1">
      <alignment horizontal="right"/>
    </xf>
    <xf numFmtId="0" fontId="33" fillId="0" borderId="0" xfId="0" applyFont="1"/>
    <xf numFmtId="170" fontId="33" fillId="0" borderId="0" xfId="0" applyNumberFormat="1" applyFont="1"/>
    <xf numFmtId="0" fontId="12" fillId="0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left"/>
    </xf>
    <xf numFmtId="0" fontId="16" fillId="0" borderId="1" xfId="0" applyFont="1" applyFill="1" applyBorder="1"/>
    <xf numFmtId="0" fontId="11" fillId="0" borderId="0" xfId="0" applyFont="1" applyFill="1" applyBorder="1" applyAlignment="1">
      <alignment horizontal="center"/>
    </xf>
    <xf numFmtId="0" fontId="11" fillId="0" borderId="11" xfId="0" applyFont="1" applyBorder="1" applyAlignment="1">
      <alignment horizontal="right"/>
    </xf>
    <xf numFmtId="2" fontId="6" fillId="0" borderId="11" xfId="0" applyNumberFormat="1" applyFont="1" applyFill="1" applyBorder="1"/>
    <xf numFmtId="0" fontId="11" fillId="0" borderId="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1" fillId="6" borderId="2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38" fillId="6" borderId="1" xfId="0" applyFont="1" applyFill="1" applyBorder="1"/>
    <xf numFmtId="0" fontId="38" fillId="0" borderId="0" xfId="0" applyFont="1" applyFill="1"/>
    <xf numFmtId="1" fontId="38" fillId="0" borderId="1" xfId="0" applyNumberFormat="1" applyFont="1" applyBorder="1"/>
    <xf numFmtId="0" fontId="22" fillId="0" borderId="0" xfId="0" applyFont="1"/>
    <xf numFmtId="0" fontId="10" fillId="0" borderId="0" xfId="0" applyFont="1" applyBorder="1"/>
    <xf numFmtId="1" fontId="10" fillId="0" borderId="0" xfId="0" applyNumberFormat="1" applyFont="1"/>
    <xf numFmtId="0" fontId="11" fillId="6" borderId="9" xfId="0" applyFont="1" applyFill="1" applyBorder="1"/>
    <xf numFmtId="0" fontId="11" fillId="6" borderId="8" xfId="0" applyFont="1" applyFill="1" applyBorder="1"/>
    <xf numFmtId="0" fontId="6" fillId="6" borderId="10" xfId="0" applyFont="1" applyFill="1" applyBorder="1"/>
    <xf numFmtId="0" fontId="6" fillId="6" borderId="0" xfId="0" applyFont="1" applyFill="1"/>
    <xf numFmtId="0" fontId="6" fillId="0" borderId="1" xfId="0" applyFont="1" applyBorder="1" applyAlignment="1">
      <alignment horizontal="center"/>
    </xf>
    <xf numFmtId="0" fontId="40" fillId="0" borderId="2" xfId="0" applyFont="1" applyFill="1" applyBorder="1"/>
    <xf numFmtId="0" fontId="40" fillId="6" borderId="1" xfId="0" applyFont="1" applyFill="1" applyBorder="1"/>
    <xf numFmtId="1" fontId="40" fillId="0" borderId="1" xfId="0" applyNumberFormat="1" applyFont="1" applyBorder="1"/>
    <xf numFmtId="0" fontId="40" fillId="0" borderId="0" xfId="0" applyFont="1" applyFill="1"/>
    <xf numFmtId="0" fontId="40" fillId="6" borderId="5" xfId="0" applyFont="1" applyFill="1" applyBorder="1"/>
    <xf numFmtId="170" fontId="40" fillId="0" borderId="1" xfId="0" applyNumberFormat="1" applyFont="1" applyBorder="1"/>
    <xf numFmtId="0" fontId="40" fillId="0" borderId="1" xfId="0" applyFont="1" applyFill="1" applyBorder="1"/>
    <xf numFmtId="2" fontId="6" fillId="0" borderId="0" xfId="0" applyNumberFormat="1" applyFont="1"/>
    <xf numFmtId="170" fontId="6" fillId="0" borderId="0" xfId="0" applyNumberFormat="1" applyFont="1"/>
    <xf numFmtId="0" fontId="30" fillId="0" borderId="0" xfId="0" applyFont="1"/>
    <xf numFmtId="170" fontId="6" fillId="0" borderId="1" xfId="0" applyNumberFormat="1" applyFont="1" applyBorder="1"/>
    <xf numFmtId="0" fontId="26" fillId="0" borderId="0" xfId="0" applyFont="1" applyFill="1"/>
    <xf numFmtId="0" fontId="32" fillId="0" borderId="0" xfId="0" applyFont="1" applyBorder="1"/>
    <xf numFmtId="0" fontId="32" fillId="0" borderId="1" xfId="0" applyFont="1" applyBorder="1" applyAlignment="1">
      <alignment horizontal="center"/>
    </xf>
    <xf numFmtId="0" fontId="32" fillId="0" borderId="2" xfId="0" applyFont="1" applyBorder="1" applyAlignment="1">
      <alignment horizontal="center"/>
    </xf>
    <xf numFmtId="0" fontId="40" fillId="0" borderId="1" xfId="0" applyFont="1" applyBorder="1"/>
    <xf numFmtId="0" fontId="32" fillId="0" borderId="0" xfId="0" applyFont="1" applyBorder="1" applyAlignment="1">
      <alignment horizontal="right"/>
    </xf>
    <xf numFmtId="0" fontId="32" fillId="0" borderId="0" xfId="0" applyFont="1" applyAlignment="1">
      <alignment horizontal="right"/>
    </xf>
    <xf numFmtId="2" fontId="34" fillId="0" borderId="0" xfId="0" applyNumberFormat="1" applyFont="1"/>
    <xf numFmtId="0" fontId="32" fillId="0" borderId="1" xfId="0" applyFont="1" applyBorder="1" applyAlignment="1">
      <alignment horizontal="right"/>
    </xf>
    <xf numFmtId="0" fontId="32" fillId="0" borderId="2" xfId="0" applyFont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6" fillId="0" borderId="2" xfId="0" applyFont="1" applyFill="1" applyBorder="1" applyAlignment="1">
      <alignment horizontal="right"/>
    </xf>
    <xf numFmtId="0" fontId="40" fillId="0" borderId="1" xfId="0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1" fillId="0" borderId="0" xfId="0" applyFont="1"/>
    <xf numFmtId="0" fontId="32" fillId="0" borderId="0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right"/>
    </xf>
    <xf numFmtId="0" fontId="7" fillId="6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11" fillId="3" borderId="1" xfId="0" applyFont="1" applyFill="1" applyBorder="1"/>
    <xf numFmtId="0" fontId="11" fillId="6" borderId="0" xfId="0" applyFont="1" applyFill="1" applyBorder="1"/>
    <xf numFmtId="0" fontId="11" fillId="6" borderId="1" xfId="0" applyFont="1" applyFill="1" applyBorder="1" applyAlignment="1">
      <alignment horizontal="center"/>
    </xf>
    <xf numFmtId="0" fontId="38" fillId="0" borderId="1" xfId="0" applyFont="1" applyBorder="1"/>
    <xf numFmtId="167" fontId="0" fillId="0" borderId="0" xfId="0" applyNumberFormat="1"/>
    <xf numFmtId="0" fontId="7" fillId="6" borderId="0" xfId="0" applyFont="1" applyFill="1" applyBorder="1" applyAlignment="1">
      <alignment horizontal="left"/>
    </xf>
    <xf numFmtId="0" fontId="40" fillId="0" borderId="0" xfId="0" applyFont="1" applyBorder="1"/>
    <xf numFmtId="170" fontId="6" fillId="0" borderId="0" xfId="0" applyNumberFormat="1" applyFont="1" applyFill="1" applyBorder="1"/>
    <xf numFmtId="0" fontId="42" fillId="0" borderId="0" xfId="0" applyFont="1" applyFill="1"/>
    <xf numFmtId="0" fontId="30" fillId="0" borderId="0" xfId="0" applyFont="1" applyBorder="1"/>
    <xf numFmtId="0" fontId="30" fillId="0" borderId="0" xfId="0" applyFont="1" applyAlignment="1">
      <alignment horizontal="right"/>
    </xf>
    <xf numFmtId="0" fontId="30" fillId="0" borderId="0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22" fillId="5" borderId="0" xfId="0" applyFont="1" applyFill="1" applyBorder="1" applyAlignment="1">
      <alignment horizontal="left"/>
    </xf>
    <xf numFmtId="0" fontId="11" fillId="0" borderId="0" xfId="0" applyFont="1" applyAlignment="1">
      <alignment horizontal="right"/>
    </xf>
    <xf numFmtId="0" fontId="7" fillId="0" borderId="1" xfId="0" applyFont="1" applyBorder="1"/>
    <xf numFmtId="0" fontId="40" fillId="0" borderId="0" xfId="0" applyFont="1"/>
    <xf numFmtId="166" fontId="6" fillId="0" borderId="0" xfId="0" applyNumberFormat="1" applyFont="1"/>
    <xf numFmtId="0" fontId="32" fillId="0" borderId="1" xfId="0" applyFont="1" applyFill="1" applyBorder="1" applyAlignment="1">
      <alignment horizontal="center"/>
    </xf>
    <xf numFmtId="0" fontId="11" fillId="0" borderId="0" xfId="0" applyFont="1" applyFill="1" applyAlignment="1">
      <alignment horizontal="right"/>
    </xf>
    <xf numFmtId="0" fontId="32" fillId="0" borderId="0" xfId="0" applyFont="1" applyFill="1" applyAlignment="1">
      <alignment horizontal="center"/>
    </xf>
    <xf numFmtId="0" fontId="18" fillId="0" borderId="0" xfId="0" applyFont="1" applyFill="1" applyAlignment="1">
      <alignment horizontal="right"/>
    </xf>
    <xf numFmtId="2" fontId="0" fillId="0" borderId="0" xfId="0" applyNumberFormat="1" applyFill="1"/>
    <xf numFmtId="1" fontId="40" fillId="0" borderId="1" xfId="0" applyNumberFormat="1" applyFont="1" applyFill="1" applyBorder="1"/>
    <xf numFmtId="1" fontId="6" fillId="0" borderId="1" xfId="0" applyNumberFormat="1" applyFont="1" applyFill="1" applyBorder="1"/>
    <xf numFmtId="0" fontId="0" fillId="0" borderId="1" xfId="0" applyFill="1" applyBorder="1"/>
    <xf numFmtId="0" fontId="7" fillId="6" borderId="0" xfId="0" applyFont="1" applyFill="1" applyAlignment="1">
      <alignment horizontal="left"/>
    </xf>
    <xf numFmtId="164" fontId="40" fillId="0" borderId="1" xfId="0" applyNumberFormat="1" applyFont="1" applyBorder="1"/>
    <xf numFmtId="0" fontId="41" fillId="0" borderId="0" xfId="0" applyFont="1"/>
    <xf numFmtId="0" fontId="43" fillId="0" borderId="0" xfId="0" applyFont="1"/>
    <xf numFmtId="0" fontId="7" fillId="0" borderId="1" xfId="0" applyFont="1" applyFill="1" applyBorder="1" applyAlignment="1">
      <alignment horizontal="center"/>
    </xf>
    <xf numFmtId="0" fontId="30" fillId="0" borderId="1" xfId="0" applyFont="1" applyBorder="1"/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right"/>
    </xf>
    <xf numFmtId="0" fontId="44" fillId="0" borderId="1" xfId="0" applyFont="1" applyBorder="1"/>
    <xf numFmtId="0" fontId="40" fillId="0" borderId="0" xfId="0" applyFont="1" applyAlignment="1">
      <alignment horizontal="right"/>
    </xf>
    <xf numFmtId="0" fontId="30" fillId="0" borderId="6" xfId="0" applyFont="1" applyBorder="1"/>
    <xf numFmtId="0" fontId="40" fillId="0" borderId="12" xfId="0" applyFont="1" applyBorder="1"/>
    <xf numFmtId="166" fontId="40" fillId="0" borderId="0" xfId="0" applyNumberFormat="1" applyFont="1"/>
    <xf numFmtId="0" fontId="11" fillId="0" borderId="0" xfId="0" applyFont="1" applyFill="1" applyBorder="1" applyAlignment="1">
      <alignment horizontal="center"/>
    </xf>
    <xf numFmtId="0" fontId="39" fillId="5" borderId="0" xfId="0" applyFont="1" applyFill="1" applyBorder="1" applyAlignment="1">
      <alignment horizontal="left"/>
    </xf>
    <xf numFmtId="0" fontId="22" fillId="0" borderId="0" xfId="0" applyFont="1" applyAlignment="1">
      <alignment horizontal="left"/>
    </xf>
    <xf numFmtId="0" fontId="10" fillId="3" borderId="0" xfId="0" applyFont="1" applyFill="1"/>
    <xf numFmtId="0" fontId="11" fillId="6" borderId="1" xfId="0" applyFont="1" applyFill="1" applyBorder="1" applyAlignment="1">
      <alignment horizontal="center"/>
    </xf>
    <xf numFmtId="0" fontId="30" fillId="6" borderId="1" xfId="0" applyFont="1" applyFill="1" applyBorder="1"/>
    <xf numFmtId="0" fontId="35" fillId="0" borderId="0" xfId="0" applyFont="1" applyFill="1" applyBorder="1" applyAlignment="1">
      <alignment horizontal="center"/>
    </xf>
    <xf numFmtId="0" fontId="43" fillId="0" borderId="1" xfId="0" applyFont="1" applyFill="1" applyBorder="1"/>
    <xf numFmtId="170" fontId="34" fillId="0" borderId="0" xfId="0" applyNumberFormat="1" applyFont="1" applyFill="1" applyBorder="1"/>
    <xf numFmtId="2" fontId="34" fillId="0" borderId="0" xfId="0" applyNumberFormat="1" applyFont="1" applyFill="1" applyBorder="1"/>
    <xf numFmtId="0" fontId="40" fillId="0" borderId="6" xfId="0" applyFont="1" applyFill="1" applyBorder="1"/>
    <xf numFmtId="0" fontId="40" fillId="0" borderId="0" xfId="0" applyFont="1" applyFill="1" applyBorder="1"/>
    <xf numFmtId="0" fontId="30" fillId="0" borderId="0" xfId="0" applyFont="1" applyFill="1" applyBorder="1"/>
    <xf numFmtId="0" fontId="45" fillId="0" borderId="0" xfId="0" applyFont="1" applyFill="1" applyBorder="1" applyAlignment="1">
      <alignment horizontal="center"/>
    </xf>
    <xf numFmtId="170" fontId="45" fillId="0" borderId="0" xfId="0" applyNumberFormat="1" applyFont="1" applyFill="1" applyBorder="1"/>
    <xf numFmtId="170" fontId="0" fillId="0" borderId="0" xfId="0" applyNumberFormat="1" applyFill="1" applyBorder="1"/>
    <xf numFmtId="0" fontId="0" fillId="0" borderId="0" xfId="0" applyFill="1" applyBorder="1" applyAlignment="1">
      <alignment horizontal="center"/>
    </xf>
    <xf numFmtId="0" fontId="18" fillId="0" borderId="0" xfId="0" applyFont="1" applyBorder="1"/>
    <xf numFmtId="170" fontId="18" fillId="0" borderId="0" xfId="0" applyNumberFormat="1" applyFont="1" applyBorder="1"/>
    <xf numFmtId="0" fontId="46" fillId="0" borderId="0" xfId="0" applyFont="1" applyFill="1"/>
    <xf numFmtId="0" fontId="45" fillId="0" borderId="0" xfId="0" applyFont="1" applyBorder="1"/>
    <xf numFmtId="0" fontId="47" fillId="0" borderId="0" xfId="0" applyFont="1" applyBorder="1"/>
    <xf numFmtId="1" fontId="48" fillId="0" borderId="0" xfId="0" applyNumberFormat="1" applyFont="1" applyFill="1" applyBorder="1"/>
    <xf numFmtId="0" fontId="46" fillId="0" borderId="0" xfId="0" applyFont="1" applyFill="1" applyBorder="1"/>
    <xf numFmtId="1" fontId="0" fillId="0" borderId="0" xfId="0" applyNumberFormat="1" applyFill="1" applyBorder="1"/>
    <xf numFmtId="0" fontId="18" fillId="0" borderId="0" xfId="0" applyFont="1" applyFill="1" applyBorder="1"/>
    <xf numFmtId="0" fontId="33" fillId="0" borderId="0" xfId="0" applyFont="1" applyFill="1" applyBorder="1"/>
    <xf numFmtId="0" fontId="33" fillId="0" borderId="0" xfId="0" applyFont="1" applyFill="1"/>
    <xf numFmtId="2" fontId="33" fillId="0" borderId="1" xfId="0" applyNumberFormat="1" applyFont="1" applyFill="1" applyBorder="1"/>
    <xf numFmtId="0" fontId="33" fillId="0" borderId="1" xfId="0" applyFont="1" applyFill="1" applyBorder="1"/>
    <xf numFmtId="170" fontId="33" fillId="0" borderId="1" xfId="0" applyNumberFormat="1" applyFont="1" applyFill="1" applyBorder="1"/>
    <xf numFmtId="0" fontId="6" fillId="6" borderId="1" xfId="0" applyFont="1" applyFill="1" applyBorder="1" applyAlignment="1">
      <alignment horizontal="center"/>
    </xf>
    <xf numFmtId="0" fontId="50" fillId="0" borderId="0" xfId="0" applyFont="1" applyFill="1" applyBorder="1" applyAlignment="1">
      <alignment horizontal="center"/>
    </xf>
    <xf numFmtId="170" fontId="50" fillId="0" borderId="0" xfId="0" applyNumberFormat="1" applyFont="1" applyFill="1" applyBorder="1"/>
    <xf numFmtId="170" fontId="50" fillId="0" borderId="1" xfId="0" applyNumberFormat="1" applyFont="1" applyBorder="1"/>
    <xf numFmtId="2" fontId="11" fillId="0" borderId="0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6" fillId="6" borderId="0" xfId="0" applyFont="1" applyFill="1" applyBorder="1"/>
    <xf numFmtId="2" fontId="11" fillId="0" borderId="1" xfId="0" applyNumberFormat="1" applyFont="1" applyBorder="1"/>
    <xf numFmtId="0" fontId="11" fillId="6" borderId="1" xfId="0" applyFont="1" applyFill="1" applyBorder="1"/>
    <xf numFmtId="0" fontId="6" fillId="0" borderId="2" xfId="0" applyFont="1" applyFill="1" applyBorder="1"/>
    <xf numFmtId="0" fontId="51" fillId="0" borderId="1" xfId="0" applyFont="1" applyBorder="1"/>
    <xf numFmtId="1" fontId="50" fillId="0" borderId="1" xfId="0" applyNumberFormat="1" applyFont="1" applyBorder="1"/>
    <xf numFmtId="1" fontId="6" fillId="0" borderId="0" xfId="0" applyNumberFormat="1" applyFont="1"/>
    <xf numFmtId="1" fontId="50" fillId="0" borderId="0" xfId="0" applyNumberFormat="1" applyFont="1" applyFill="1" applyBorder="1"/>
    <xf numFmtId="1" fontId="50" fillId="0" borderId="13" xfId="0" applyNumberFormat="1" applyFont="1" applyFill="1" applyBorder="1"/>
    <xf numFmtId="1" fontId="50" fillId="0" borderId="0" xfId="0" applyNumberFormat="1" applyFont="1"/>
    <xf numFmtId="0" fontId="50" fillId="0" borderId="0" xfId="0" applyFont="1"/>
    <xf numFmtId="0" fontId="51" fillId="0" borderId="0" xfId="0" applyFont="1" applyFill="1" applyBorder="1"/>
    <xf numFmtId="1" fontId="50" fillId="0" borderId="1" xfId="0" applyNumberFormat="1" applyFont="1" applyFill="1" applyBorder="1"/>
    <xf numFmtId="164" fontId="6" fillId="0" borderId="0" xfId="0" applyNumberFormat="1" applyFont="1"/>
    <xf numFmtId="164" fontId="6" fillId="0" borderId="0" xfId="0" applyNumberFormat="1" applyFont="1" applyFill="1" applyBorder="1"/>
    <xf numFmtId="0" fontId="51" fillId="0" borderId="2" xfId="0" applyFont="1" applyBorder="1"/>
    <xf numFmtId="2" fontId="11" fillId="0" borderId="0" xfId="0" applyNumberFormat="1" applyFont="1" applyBorder="1"/>
    <xf numFmtId="0" fontId="6" fillId="0" borderId="0" xfId="0" applyNumberFormat="1" applyFont="1" applyFill="1" applyBorder="1" applyAlignment="1">
      <alignment horizontal="right"/>
    </xf>
    <xf numFmtId="1" fontId="11" fillId="0" borderId="1" xfId="0" applyNumberFormat="1" applyFont="1" applyBorder="1"/>
    <xf numFmtId="170" fontId="6" fillId="0" borderId="1" xfId="0" applyNumberFormat="1" applyFont="1" applyFill="1" applyBorder="1"/>
    <xf numFmtId="2" fontId="6" fillId="0" borderId="0" xfId="0" applyNumberFormat="1" applyFont="1" applyFill="1"/>
    <xf numFmtId="0" fontId="40" fillId="0" borderId="0" xfId="0" applyFont="1" applyFill="1" applyBorder="1" applyAlignment="1">
      <alignment horizontal="right"/>
    </xf>
    <xf numFmtId="0" fontId="6" fillId="3" borderId="0" xfId="0" applyFont="1" applyFill="1" applyBorder="1"/>
    <xf numFmtId="0" fontId="30" fillId="0" borderId="0" xfId="0" applyFont="1" applyFill="1" applyBorder="1" applyAlignment="1">
      <alignment horizontal="center"/>
    </xf>
    <xf numFmtId="1" fontId="6" fillId="0" borderId="0" xfId="0" applyNumberFormat="1" applyFont="1" applyFill="1"/>
    <xf numFmtId="0" fontId="33" fillId="3" borderId="0" xfId="0" applyFont="1" applyFill="1"/>
    <xf numFmtId="0" fontId="33" fillId="6" borderId="0" xfId="0" applyFont="1" applyFill="1"/>
    <xf numFmtId="0" fontId="33" fillId="0" borderId="0" xfId="0" applyNumberFormat="1" applyFont="1"/>
    <xf numFmtId="0" fontId="33" fillId="0" borderId="0" xfId="0" applyNumberFormat="1" applyFont="1" applyFill="1" applyBorder="1"/>
    <xf numFmtId="0" fontId="52" fillId="0" borderId="0" xfId="0" applyFont="1" applyFill="1" applyBorder="1"/>
    <xf numFmtId="0" fontId="33" fillId="0" borderId="1" xfId="0" applyFont="1" applyBorder="1"/>
    <xf numFmtId="170" fontId="33" fillId="0" borderId="0" xfId="0" applyNumberFormat="1" applyFont="1" applyFill="1" applyBorder="1"/>
    <xf numFmtId="170" fontId="33" fillId="0" borderId="1" xfId="0" applyNumberFormat="1" applyFont="1" applyBorder="1"/>
    <xf numFmtId="2" fontId="49" fillId="0" borderId="0" xfId="0" applyNumberFormat="1" applyFont="1" applyFill="1" applyBorder="1" applyAlignment="1">
      <alignment horizontal="right"/>
    </xf>
    <xf numFmtId="170" fontId="33" fillId="0" borderId="0" xfId="0" applyNumberFormat="1" applyFont="1" applyBorder="1"/>
    <xf numFmtId="0" fontId="33" fillId="0" borderId="0" xfId="0" applyFont="1" applyBorder="1"/>
    <xf numFmtId="0" fontId="44" fillId="0" borderId="0" xfId="0" applyFont="1" applyFill="1" applyBorder="1"/>
    <xf numFmtId="0" fontId="33" fillId="6" borderId="1" xfId="0" applyFont="1" applyFill="1" applyBorder="1" applyAlignment="1">
      <alignment horizontal="center"/>
    </xf>
    <xf numFmtId="2" fontId="49" fillId="0" borderId="1" xfId="0" applyNumberFormat="1" applyFont="1" applyBorder="1"/>
    <xf numFmtId="4" fontId="33" fillId="0" borderId="0" xfId="0" applyNumberFormat="1" applyFont="1" applyFill="1"/>
    <xf numFmtId="1" fontId="33" fillId="0" borderId="1" xfId="0" applyNumberFormat="1" applyFont="1" applyBorder="1"/>
    <xf numFmtId="0" fontId="49" fillId="0" borderId="0" xfId="0" applyFont="1"/>
    <xf numFmtId="0" fontId="49" fillId="0" borderId="0" xfId="0" applyFont="1" applyFill="1"/>
    <xf numFmtId="0" fontId="49" fillId="6" borderId="1" xfId="0" applyFont="1" applyFill="1" applyBorder="1"/>
    <xf numFmtId="0" fontId="47" fillId="0" borderId="1" xfId="0" applyFont="1" applyBorder="1"/>
    <xf numFmtId="0" fontId="47" fillId="0" borderId="5" xfId="0" applyFont="1" applyBorder="1"/>
    <xf numFmtId="1" fontId="33" fillId="0" borderId="0" xfId="0" applyNumberFormat="1" applyFont="1" applyFill="1" applyBorder="1"/>
    <xf numFmtId="1" fontId="44" fillId="0" borderId="0" xfId="0" applyNumberFormat="1" applyFont="1" applyFill="1" applyBorder="1"/>
    <xf numFmtId="0" fontId="45" fillId="0" borderId="1" xfId="0" applyFont="1" applyBorder="1"/>
    <xf numFmtId="1" fontId="33" fillId="0" borderId="0" xfId="0" applyNumberFormat="1" applyFont="1"/>
    <xf numFmtId="1" fontId="45" fillId="0" borderId="1" xfId="0" applyNumberFormat="1" applyFont="1" applyBorder="1"/>
    <xf numFmtId="0" fontId="45" fillId="0" borderId="1" xfId="0" applyFont="1" applyFill="1" applyBorder="1"/>
    <xf numFmtId="1" fontId="45" fillId="0" borderId="0" xfId="0" applyNumberFormat="1" applyFont="1"/>
    <xf numFmtId="1" fontId="45" fillId="0" borderId="13" xfId="0" applyNumberFormat="1" applyFont="1" applyFill="1" applyBorder="1"/>
    <xf numFmtId="1" fontId="54" fillId="0" borderId="1" xfId="0" applyNumberFormat="1" applyFont="1" applyBorder="1"/>
    <xf numFmtId="1" fontId="54" fillId="0" borderId="4" xfId="0" applyNumberFormat="1" applyFont="1" applyBorder="1"/>
    <xf numFmtId="1" fontId="54" fillId="0" borderId="6" xfId="0" applyNumberFormat="1" applyFont="1" applyBorder="1"/>
    <xf numFmtId="1" fontId="54" fillId="0" borderId="12" xfId="0" applyNumberFormat="1" applyFont="1" applyBorder="1"/>
    <xf numFmtId="1" fontId="49" fillId="0" borderId="0" xfId="0" applyNumberFormat="1" applyFont="1" applyFill="1" applyBorder="1"/>
    <xf numFmtId="1" fontId="45" fillId="0" borderId="0" xfId="0" applyNumberFormat="1" applyFont="1" applyFill="1" applyBorder="1"/>
    <xf numFmtId="1" fontId="45" fillId="9" borderId="1" xfId="0" applyNumberFormat="1" applyFont="1" applyFill="1" applyBorder="1"/>
    <xf numFmtId="1" fontId="47" fillId="0" borderId="0" xfId="0" applyNumberFormat="1" applyFont="1" applyFill="1" applyBorder="1"/>
    <xf numFmtId="0" fontId="49" fillId="0" borderId="0" xfId="0" applyFont="1" applyFill="1" applyBorder="1"/>
    <xf numFmtId="0" fontId="47" fillId="0" borderId="0" xfId="0" applyFont="1" applyFill="1" applyBorder="1"/>
    <xf numFmtId="0" fontId="45" fillId="0" borderId="0" xfId="0" applyFont="1" applyFill="1" applyBorder="1"/>
    <xf numFmtId="1" fontId="45" fillId="9" borderId="6" xfId="0" applyNumberFormat="1" applyFont="1" applyFill="1" applyBorder="1"/>
    <xf numFmtId="1" fontId="49" fillId="0" borderId="1" xfId="0" applyNumberFormat="1" applyFont="1" applyBorder="1"/>
    <xf numFmtId="1" fontId="45" fillId="0" borderId="6" xfId="0" applyNumberFormat="1" applyFont="1" applyBorder="1"/>
    <xf numFmtId="0" fontId="32" fillId="0" borderId="0" xfId="0" applyFont="1" applyFill="1" applyBorder="1"/>
    <xf numFmtId="0" fontId="55" fillId="2" borderId="1" xfId="0" applyFont="1" applyFill="1" applyBorder="1" applyAlignment="1">
      <alignment horizontal="center"/>
    </xf>
    <xf numFmtId="0" fontId="49" fillId="0" borderId="1" xfId="0" applyFont="1" applyBorder="1" applyAlignment="1">
      <alignment horizontal="center"/>
    </xf>
    <xf numFmtId="170" fontId="49" fillId="0" borderId="1" xfId="0" applyNumberFormat="1" applyFont="1" applyBorder="1"/>
    <xf numFmtId="2" fontId="33" fillId="0" borderId="1" xfId="0" applyNumberFormat="1" applyFont="1" applyBorder="1"/>
    <xf numFmtId="0" fontId="49" fillId="0" borderId="0" xfId="0" applyFont="1" applyFill="1" applyBorder="1" applyAlignment="1">
      <alignment horizontal="center"/>
    </xf>
    <xf numFmtId="0" fontId="53" fillId="0" borderId="0" xfId="0" applyFont="1" applyFill="1" applyBorder="1" applyAlignment="1">
      <alignment horizontal="left"/>
    </xf>
    <xf numFmtId="0" fontId="44" fillId="0" borderId="0" xfId="0" applyFont="1" applyFill="1" applyBorder="1" applyAlignment="1">
      <alignment horizontal="right"/>
    </xf>
    <xf numFmtId="0" fontId="33" fillId="0" borderId="0" xfId="0" applyFont="1" applyFill="1" applyBorder="1" applyAlignment="1">
      <alignment horizontal="right"/>
    </xf>
    <xf numFmtId="0" fontId="33" fillId="0" borderId="0" xfId="0" applyNumberFormat="1" applyFont="1" applyFill="1" applyBorder="1" applyAlignment="1">
      <alignment horizontal="right"/>
    </xf>
    <xf numFmtId="2" fontId="32" fillId="0" borderId="0" xfId="0" applyNumberFormat="1" applyFont="1" applyBorder="1"/>
    <xf numFmtId="2" fontId="33" fillId="0" borderId="0" xfId="0" applyNumberFormat="1" applyFont="1" applyFill="1" applyBorder="1"/>
    <xf numFmtId="2" fontId="44" fillId="0" borderId="0" xfId="0" applyNumberFormat="1" applyFont="1" applyFill="1" applyBorder="1"/>
    <xf numFmtId="0" fontId="53" fillId="0" borderId="0" xfId="0" applyFont="1" applyFill="1" applyAlignment="1">
      <alignment horizontal="left"/>
    </xf>
    <xf numFmtId="0" fontId="44" fillId="0" borderId="0" xfId="0" applyFont="1" applyFill="1" applyAlignment="1">
      <alignment horizontal="right"/>
    </xf>
    <xf numFmtId="0" fontId="33" fillId="0" borderId="0" xfId="0" applyFont="1" applyFill="1" applyAlignment="1">
      <alignment horizontal="right"/>
    </xf>
    <xf numFmtId="0" fontId="49" fillId="0" borderId="1" xfId="0" applyFont="1" applyBorder="1" applyAlignment="1">
      <alignment horizontal="right"/>
    </xf>
    <xf numFmtId="0" fontId="49" fillId="0" borderId="0" xfId="0" applyFont="1" applyBorder="1" applyAlignment="1">
      <alignment horizontal="right"/>
    </xf>
    <xf numFmtId="1" fontId="33" fillId="0" borderId="0" xfId="0" applyNumberFormat="1" applyFont="1" applyBorder="1"/>
    <xf numFmtId="3" fontId="33" fillId="0" borderId="0" xfId="0" applyNumberFormat="1" applyFont="1" applyFill="1" applyBorder="1"/>
    <xf numFmtId="1" fontId="0" fillId="0" borderId="0" xfId="0" applyNumberFormat="1" applyFill="1"/>
    <xf numFmtId="2" fontId="32" fillId="0" borderId="0" xfId="0" applyNumberFormat="1" applyFont="1" applyFill="1" applyBorder="1"/>
    <xf numFmtId="2" fontId="6" fillId="0" borderId="13" xfId="0" applyNumberFormat="1" applyFont="1" applyFill="1" applyBorder="1"/>
    <xf numFmtId="1" fontId="11" fillId="0" borderId="0" xfId="0" applyNumberFormat="1" applyFont="1" applyFill="1" applyBorder="1"/>
    <xf numFmtId="0" fontId="50" fillId="0" borderId="0" xfId="0" applyFont="1" applyFill="1" applyBorder="1"/>
    <xf numFmtId="0" fontId="50" fillId="0" borderId="1" xfId="0" applyFont="1" applyBorder="1"/>
    <xf numFmtId="1" fontId="51" fillId="0" borderId="0" xfId="0" applyNumberFormat="1" applyFont="1" applyFill="1" applyBorder="1"/>
    <xf numFmtId="2" fontId="6" fillId="0" borderId="2" xfId="0" applyNumberFormat="1" applyFont="1" applyBorder="1"/>
    <xf numFmtId="1" fontId="50" fillId="9" borderId="1" xfId="0" applyNumberFormat="1" applyFont="1" applyFill="1" applyBorder="1"/>
    <xf numFmtId="170" fontId="11" fillId="0" borderId="0" xfId="0" applyNumberFormat="1" applyFont="1" applyFill="1" applyBorder="1"/>
    <xf numFmtId="0" fontId="11" fillId="0" borderId="0" xfId="0" applyFont="1" applyFill="1" applyBorder="1" applyAlignment="1">
      <alignment horizontal="left"/>
    </xf>
    <xf numFmtId="2" fontId="40" fillId="0" borderId="1" xfId="0" applyNumberFormat="1" applyFont="1" applyBorder="1"/>
    <xf numFmtId="0" fontId="51" fillId="0" borderId="1" xfId="0" applyFont="1" applyBorder="1" applyAlignment="1">
      <alignment horizontal="right"/>
    </xf>
    <xf numFmtId="0" fontId="51" fillId="0" borderId="5" xfId="0" applyFont="1" applyBorder="1" applyAlignment="1">
      <alignment horizontal="right"/>
    </xf>
    <xf numFmtId="2" fontId="35" fillId="0" borderId="0" xfId="0" applyNumberFormat="1" applyFont="1"/>
    <xf numFmtId="170" fontId="35" fillId="0" borderId="0" xfId="0" applyNumberFormat="1" applyFont="1"/>
    <xf numFmtId="1" fontId="0" fillId="0" borderId="0" xfId="0" applyNumberFormat="1" applyBorder="1"/>
    <xf numFmtId="2" fontId="0" fillId="0" borderId="0" xfId="0" applyNumberFormat="1" applyBorder="1"/>
    <xf numFmtId="2" fontId="34" fillId="0" borderId="0" xfId="0" applyNumberFormat="1" applyFont="1" applyFill="1" applyBorder="1" applyAlignment="1">
      <alignment horizontal="right"/>
    </xf>
    <xf numFmtId="0" fontId="30" fillId="5" borderId="1" xfId="0" applyFont="1" applyFill="1" applyBorder="1" applyAlignment="1">
      <alignment horizontal="center"/>
    </xf>
    <xf numFmtId="2" fontId="40" fillId="9" borderId="1" xfId="0" applyNumberFormat="1" applyFont="1" applyFill="1" applyBorder="1"/>
    <xf numFmtId="2" fontId="40" fillId="0" borderId="1" xfId="0" applyNumberFormat="1" applyFont="1" applyBorder="1" applyAlignment="1">
      <alignment horizontal="right"/>
    </xf>
    <xf numFmtId="2" fontId="40" fillId="0" borderId="0" xfId="0" applyNumberFormat="1" applyFont="1" applyBorder="1"/>
    <xf numFmtId="0" fontId="30" fillId="0" borderId="1" xfId="0" applyFont="1" applyFill="1" applyBorder="1" applyAlignment="1">
      <alignment horizontal="center"/>
    </xf>
    <xf numFmtId="0" fontId="6" fillId="2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11" fillId="5" borderId="13" xfId="0" applyFont="1" applyFill="1" applyBorder="1" applyAlignment="1">
      <alignment horizontal="right"/>
    </xf>
    <xf numFmtId="170" fontId="33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6" fillId="0" borderId="1" xfId="0" applyFont="1" applyFill="1" applyBorder="1" applyAlignment="1">
      <alignment horizontal="right"/>
    </xf>
    <xf numFmtId="0" fontId="56" fillId="0" borderId="2" xfId="0" applyFont="1" applyFill="1" applyBorder="1" applyAlignment="1">
      <alignment horizontal="right"/>
    </xf>
    <xf numFmtId="0" fontId="6" fillId="5" borderId="0" xfId="0" applyFont="1" applyFill="1"/>
    <xf numFmtId="0" fontId="6" fillId="5" borderId="0" xfId="0" applyFont="1" applyFill="1" applyBorder="1"/>
    <xf numFmtId="0" fontId="57" fillId="0" borderId="1" xfId="0" applyFont="1" applyBorder="1" applyAlignment="1">
      <alignment horizontal="right"/>
    </xf>
    <xf numFmtId="0" fontId="12" fillId="0" borderId="1" xfId="0" applyFont="1" applyBorder="1" applyAlignment="1">
      <alignment horizontal="right"/>
    </xf>
    <xf numFmtId="0" fontId="12" fillId="0" borderId="2" xfId="0" applyFont="1" applyFill="1" applyBorder="1" applyAlignment="1">
      <alignment horizontal="right"/>
    </xf>
    <xf numFmtId="0" fontId="13" fillId="5" borderId="0" xfId="0" applyFont="1" applyFill="1"/>
    <xf numFmtId="0" fontId="58" fillId="0" borderId="1" xfId="0" applyFont="1" applyFill="1" applyBorder="1" applyAlignment="1">
      <alignment horizontal="right"/>
    </xf>
    <xf numFmtId="0" fontId="52" fillId="0" borderId="2" xfId="0" applyFont="1" applyFill="1" applyBorder="1" applyAlignment="1">
      <alignment horizontal="right"/>
    </xf>
    <xf numFmtId="0" fontId="52" fillId="0" borderId="1" xfId="0" applyFont="1" applyBorder="1"/>
    <xf numFmtId="0" fontId="29" fillId="0" borderId="0" xfId="0" applyFont="1" applyAlignment="1">
      <alignment horizontal="left"/>
    </xf>
    <xf numFmtId="0" fontId="29" fillId="0" borderId="0" xfId="0" applyFont="1"/>
    <xf numFmtId="0" fontId="12" fillId="0" borderId="1" xfId="0" applyFont="1" applyFill="1" applyBorder="1" applyAlignment="1">
      <alignment horizontal="right"/>
    </xf>
    <xf numFmtId="0" fontId="49" fillId="0" borderId="2" xfId="0" applyFont="1" applyFill="1" applyBorder="1" applyAlignment="1">
      <alignment horizontal="right"/>
    </xf>
    <xf numFmtId="1" fontId="51" fillId="0" borderId="0" xfId="0" applyNumberFormat="1" applyFont="1" applyFill="1"/>
    <xf numFmtId="1" fontId="50" fillId="0" borderId="0" xfId="0" applyNumberFormat="1" applyFont="1" applyFill="1"/>
    <xf numFmtId="0" fontId="50" fillId="0" borderId="0" xfId="0" applyFont="1" applyFill="1"/>
    <xf numFmtId="0" fontId="15" fillId="0" borderId="1" xfId="0" applyFont="1" applyFill="1" applyBorder="1" applyAlignment="1">
      <alignment horizontal="right"/>
    </xf>
    <xf numFmtId="0" fontId="12" fillId="0" borderId="5" xfId="0" applyFont="1" applyBorder="1" applyAlignment="1">
      <alignment horizontal="right"/>
    </xf>
    <xf numFmtId="0" fontId="12" fillId="0" borderId="0" xfId="0" applyFont="1" applyAlignment="1">
      <alignment horizontal="right"/>
    </xf>
    <xf numFmtId="0" fontId="13" fillId="6" borderId="0" xfId="0" applyFont="1" applyFill="1" applyAlignment="1">
      <alignment horizontal="left"/>
    </xf>
    <xf numFmtId="0" fontId="43" fillId="0" borderId="6" xfId="0" applyFont="1" applyBorder="1" applyAlignment="1">
      <alignment horizontal="right"/>
    </xf>
    <xf numFmtId="0" fontId="12" fillId="0" borderId="1" xfId="0" applyFont="1" applyBorder="1" applyAlignment="1">
      <alignment horizontal="left"/>
    </xf>
    <xf numFmtId="0" fontId="39" fillId="0" borderId="0" xfId="0" applyFont="1" applyFill="1" applyBorder="1" applyAlignment="1">
      <alignment horizontal="center"/>
    </xf>
    <xf numFmtId="0" fontId="39" fillId="0" borderId="0" xfId="0" applyFont="1" applyFill="1"/>
    <xf numFmtId="0" fontId="38" fillId="0" borderId="0" xfId="0" applyFont="1"/>
    <xf numFmtId="0" fontId="38" fillId="0" borderId="0" xfId="0" applyFont="1" applyFill="1" applyBorder="1"/>
    <xf numFmtId="0" fontId="39" fillId="6" borderId="4" xfId="0" applyFont="1" applyFill="1" applyBorder="1" applyAlignment="1">
      <alignment horizontal="center"/>
    </xf>
    <xf numFmtId="0" fontId="39" fillId="6" borderId="1" xfId="0" applyFont="1" applyFill="1" applyBorder="1" applyAlignment="1">
      <alignment horizontal="center"/>
    </xf>
    <xf numFmtId="170" fontId="10" fillId="0" borderId="0" xfId="0" applyNumberFormat="1" applyFont="1" applyFill="1"/>
    <xf numFmtId="0" fontId="10" fillId="0" borderId="1" xfId="0" applyFont="1" applyFill="1" applyBorder="1"/>
    <xf numFmtId="2" fontId="38" fillId="0" borderId="1" xfId="0" applyNumberFormat="1" applyFont="1" applyFill="1" applyBorder="1"/>
    <xf numFmtId="170" fontId="38" fillId="0" borderId="0" xfId="0" applyNumberFormat="1" applyFont="1" applyFill="1" applyBorder="1"/>
    <xf numFmtId="170" fontId="38" fillId="0" borderId="1" xfId="0" applyNumberFormat="1" applyFont="1" applyFill="1" applyBorder="1"/>
    <xf numFmtId="2" fontId="10" fillId="0" borderId="0" xfId="0" applyNumberFormat="1" applyFont="1" applyFill="1"/>
    <xf numFmtId="2" fontId="38" fillId="0" borderId="0" xfId="0" applyNumberFormat="1" applyFont="1" applyFill="1" applyBorder="1"/>
    <xf numFmtId="2" fontId="38" fillId="0" borderId="4" xfId="0" applyNumberFormat="1" applyFont="1" applyFill="1" applyBorder="1"/>
    <xf numFmtId="2" fontId="38" fillId="0" borderId="12" xfId="0" applyNumberFormat="1" applyFont="1" applyFill="1" applyBorder="1"/>
    <xf numFmtId="1" fontId="38" fillId="0" borderId="0" xfId="0" applyNumberFormat="1" applyFont="1" applyFill="1" applyBorder="1"/>
    <xf numFmtId="0" fontId="38" fillId="0" borderId="6" xfId="0" applyFont="1" applyFill="1" applyBorder="1"/>
    <xf numFmtId="1" fontId="38" fillId="0" borderId="12" xfId="0" applyNumberFormat="1" applyFont="1" applyFill="1" applyBorder="1"/>
    <xf numFmtId="0" fontId="38" fillId="0" borderId="0" xfId="0" applyFont="1" applyBorder="1"/>
    <xf numFmtId="0" fontId="10" fillId="0" borderId="1" xfId="0" applyFont="1" applyFill="1" applyBorder="1" applyAlignment="1">
      <alignment horizontal="right"/>
    </xf>
    <xf numFmtId="2" fontId="38" fillId="0" borderId="1" xfId="0" applyNumberFormat="1" applyFont="1" applyFill="1" applyBorder="1" applyAlignment="1">
      <alignment horizontal="right"/>
    </xf>
    <xf numFmtId="0" fontId="38" fillId="0" borderId="1" xfId="0" applyFont="1" applyFill="1" applyBorder="1" applyAlignment="1">
      <alignment horizontal="right"/>
    </xf>
    <xf numFmtId="2" fontId="10" fillId="0" borderId="1" xfId="0" applyNumberFormat="1" applyFont="1" applyFill="1" applyBorder="1" applyAlignment="1">
      <alignment horizontal="right"/>
    </xf>
    <xf numFmtId="0" fontId="38" fillId="0" borderId="1" xfId="0" applyFont="1" applyFill="1" applyBorder="1"/>
    <xf numFmtId="1" fontId="38" fillId="0" borderId="1" xfId="0" applyNumberFormat="1" applyFont="1" applyFill="1" applyBorder="1"/>
    <xf numFmtId="170" fontId="38" fillId="0" borderId="12" xfId="0" applyNumberFormat="1" applyFont="1" applyFill="1" applyBorder="1"/>
    <xf numFmtId="2" fontId="40" fillId="0" borderId="4" xfId="0" applyNumberFormat="1" applyFont="1" applyBorder="1"/>
    <xf numFmtId="2" fontId="40" fillId="0" borderId="0" xfId="0" applyNumberFormat="1" applyFont="1" applyFill="1" applyBorder="1"/>
    <xf numFmtId="2" fontId="40" fillId="0" borderId="0" xfId="0" applyNumberFormat="1" applyFont="1" applyFill="1" applyBorder="1" applyAlignment="1">
      <alignment horizontal="right"/>
    </xf>
    <xf numFmtId="2" fontId="6" fillId="0" borderId="4" xfId="0" applyNumberFormat="1" applyFont="1" applyBorder="1"/>
    <xf numFmtId="2" fontId="6" fillId="0" borderId="5" xfId="0" applyNumberFormat="1" applyFont="1" applyBorder="1"/>
    <xf numFmtId="2" fontId="6" fillId="0" borderId="15" xfId="0" applyNumberFormat="1" applyFont="1" applyBorder="1"/>
    <xf numFmtId="2" fontId="6" fillId="0" borderId="16" xfId="0" applyNumberFormat="1" applyFont="1" applyBorder="1"/>
    <xf numFmtId="2" fontId="6" fillId="0" borderId="17" xfId="0" applyNumberFormat="1" applyFont="1" applyBorder="1"/>
    <xf numFmtId="2" fontId="6" fillId="0" borderId="14" xfId="0" applyNumberFormat="1" applyFont="1" applyBorder="1"/>
    <xf numFmtId="2" fontId="6" fillId="0" borderId="18" xfId="0" applyNumberFormat="1" applyFont="1" applyBorder="1"/>
    <xf numFmtId="0" fontId="6" fillId="0" borderId="18" xfId="0" applyFont="1" applyBorder="1"/>
    <xf numFmtId="0" fontId="40" fillId="0" borderId="4" xfId="0" applyFont="1" applyBorder="1"/>
    <xf numFmtId="0" fontId="6" fillId="0" borderId="14" xfId="0" applyFont="1" applyBorder="1"/>
    <xf numFmtId="2" fontId="6" fillId="0" borderId="19" xfId="0" applyNumberFormat="1" applyFont="1" applyBorder="1"/>
    <xf numFmtId="2" fontId="6" fillId="0" borderId="20" xfId="0" applyNumberFormat="1" applyFont="1" applyBorder="1"/>
    <xf numFmtId="0" fontId="12" fillId="0" borderId="4" xfId="0" applyFont="1" applyBorder="1" applyAlignment="1">
      <alignment horizontal="right"/>
    </xf>
    <xf numFmtId="0" fontId="12" fillId="0" borderId="21" xfId="0" applyFont="1" applyBorder="1"/>
    <xf numFmtId="0" fontId="12" fillId="0" borderId="14" xfId="0" applyFont="1" applyBorder="1"/>
    <xf numFmtId="0" fontId="22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10" fillId="0" borderId="1" xfId="0" applyFont="1" applyBorder="1" applyAlignment="1">
      <alignment horizontal="right"/>
    </xf>
    <xf numFmtId="0" fontId="6" fillId="0" borderId="0" xfId="0" applyFont="1" applyAlignment="1">
      <alignment horizontal="left"/>
    </xf>
    <xf numFmtId="0" fontId="39" fillId="0" borderId="1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7" borderId="3" xfId="0" applyFont="1" applyFill="1" applyBorder="1" applyAlignment="1">
      <alignment horizontal="center"/>
    </xf>
    <xf numFmtId="0" fontId="10" fillId="7" borderId="4" xfId="0" applyFont="1" applyFill="1" applyBorder="1" applyAlignment="1">
      <alignment horizontal="center"/>
    </xf>
    <xf numFmtId="0" fontId="11" fillId="8" borderId="2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1" fillId="6" borderId="2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8" fillId="6" borderId="2" xfId="0" applyFont="1" applyFill="1" applyBorder="1" applyAlignment="1">
      <alignment horizontal="center"/>
    </xf>
    <xf numFmtId="0" fontId="18" fillId="6" borderId="3" xfId="0" applyFont="1" applyFill="1" applyBorder="1" applyAlignment="1">
      <alignment horizontal="center"/>
    </xf>
    <xf numFmtId="0" fontId="18" fillId="6" borderId="4" xfId="0" applyFont="1" applyFill="1" applyBorder="1" applyAlignment="1">
      <alignment horizontal="center"/>
    </xf>
    <xf numFmtId="0" fontId="22" fillId="6" borderId="1" xfId="0" applyFont="1" applyFill="1" applyBorder="1" applyAlignment="1">
      <alignment horizontal="center"/>
    </xf>
    <xf numFmtId="0" fontId="19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/>
    </xf>
    <xf numFmtId="0" fontId="11" fillId="5" borderId="1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/>
    </xf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4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22" fillId="6" borderId="2" xfId="0" applyFont="1" applyFill="1" applyBorder="1" applyAlignment="1">
      <alignment horizontal="center"/>
    </xf>
    <xf numFmtId="0" fontId="22" fillId="6" borderId="3" xfId="0" applyFont="1" applyFill="1" applyBorder="1" applyAlignment="1">
      <alignment horizontal="center"/>
    </xf>
    <xf numFmtId="0" fontId="22" fillId="6" borderId="4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11" fillId="6" borderId="9" xfId="0" applyFont="1" applyFill="1" applyBorder="1" applyAlignment="1">
      <alignment horizontal="center"/>
    </xf>
    <xf numFmtId="0" fontId="11" fillId="6" borderId="8" xfId="0" applyFont="1" applyFill="1" applyBorder="1" applyAlignment="1">
      <alignment horizontal="center"/>
    </xf>
    <xf numFmtId="0" fontId="11" fillId="6" borderId="10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</cellXfs>
  <cellStyles count="106">
    <cellStyle name="Besuchter Hyperlink" xfId="3" builtinId="9" hidden="1"/>
    <cellStyle name="Besuchter Hyperlink" xfId="5" builtinId="9" hidden="1"/>
    <cellStyle name="Besuchter Hyperlink" xfId="7" builtinId="9" hidden="1"/>
    <cellStyle name="Besuchter Hyperlink" xfId="9" builtinId="9" hidden="1"/>
    <cellStyle name="Besuchter Hyperlink" xfId="11" builtinId="9" hidden="1"/>
    <cellStyle name="Besuchter Hyperlink" xfId="13" builtinId="9" hidden="1"/>
    <cellStyle name="Besuchter Hyperlink" xfId="15" builtinId="9" hidden="1"/>
    <cellStyle name="Besuchter Hyperlink" xfId="17" builtinId="9" hidden="1"/>
    <cellStyle name="Besuchter Hyperlink" xfId="19" builtinId="9" hidden="1"/>
    <cellStyle name="Besuchter Hyperlink" xfId="21" builtinId="9" hidden="1"/>
    <cellStyle name="Besuchter Hyperlink" xfId="23" builtinId="9" hidden="1"/>
    <cellStyle name="Besuchter Hyperlink" xfId="25" builtinId="9" hidden="1"/>
    <cellStyle name="Besuchter Hyperlink" xfId="27" builtinId="9" hidden="1"/>
    <cellStyle name="Besuchter Hyperlink" xfId="29" builtinId="9" hidden="1"/>
    <cellStyle name="Besuchter Hyperlink" xfId="31" builtinId="9" hidden="1"/>
    <cellStyle name="Besuchter Hyperlink" xfId="33" builtinId="9" hidden="1"/>
    <cellStyle name="Besuchter Hyperlink" xfId="35" builtinId="9" hidden="1"/>
    <cellStyle name="Besuchter Hyperlink" xfId="37" builtinId="9" hidden="1"/>
    <cellStyle name="Besuchter Hyperlink" xfId="39" builtinId="9" hidden="1"/>
    <cellStyle name="Besuchter Hyperlink" xfId="41" builtinId="9" hidden="1"/>
    <cellStyle name="Besuchter Hyperlink" xfId="43" builtinId="9" hidden="1"/>
    <cellStyle name="Besuchter Hyperlink" xfId="45" builtinId="9" hidden="1"/>
    <cellStyle name="Besuchter Hyperlink" xfId="47" builtinId="9" hidden="1"/>
    <cellStyle name="Besuchter Hyperlink" xfId="49" builtinId="9" hidden="1"/>
    <cellStyle name="Besuchter Hyperlink" xfId="51" builtinId="9" hidden="1"/>
    <cellStyle name="Besuchter Hyperlink" xfId="53" builtinId="9" hidden="1"/>
    <cellStyle name="Besuchter Hyperlink" xfId="55" builtinId="9" hidden="1"/>
    <cellStyle name="Besuchter Hyperlink" xfId="57" builtinId="9" hidden="1"/>
    <cellStyle name="Besuchter Hyperlink" xfId="59" builtinId="9" hidden="1"/>
    <cellStyle name="Besuchter Hyperlink" xfId="61" builtinId="9" hidden="1"/>
    <cellStyle name="Besuchter Hyperlink" xfId="63" builtinId="9" hidden="1"/>
    <cellStyle name="Besuchter Hyperlink" xfId="65" builtinId="9" hidden="1"/>
    <cellStyle name="Besuchter Hyperlink" xfId="67" builtinId="9" hidden="1"/>
    <cellStyle name="Besuchter Hyperlink" xfId="69" builtinId="9" hidden="1"/>
    <cellStyle name="Besuchter Hyperlink" xfId="71" builtinId="9" hidden="1"/>
    <cellStyle name="Besuchter Hyperlink" xfId="73" builtinId="9" hidden="1"/>
    <cellStyle name="Besuchter Hyperlink" xfId="75" builtinId="9" hidden="1"/>
    <cellStyle name="Besuchter Hyperlink" xfId="77" builtinId="9" hidden="1"/>
    <cellStyle name="Besuchter Hyperlink" xfId="79" builtinId="9" hidden="1"/>
    <cellStyle name="Besuchter Hyperlink" xfId="81" builtinId="9" hidden="1"/>
    <cellStyle name="Besuchter Hyperlink" xfId="83" builtinId="9" hidden="1"/>
    <cellStyle name="Besuchter Hyperlink" xfId="85" builtinId="9" hidden="1"/>
    <cellStyle name="Besuchter Hyperlink" xfId="87" builtinId="9" hidden="1"/>
    <cellStyle name="Besuchter Hyperlink" xfId="89" builtinId="9" hidden="1"/>
    <cellStyle name="Besuchter Hyperlink" xfId="91" builtinId="9" hidden="1"/>
    <cellStyle name="Besuchter Hyperlink" xfId="93" builtinId="9" hidden="1"/>
    <cellStyle name="Besuchter Hyperlink" xfId="95" builtinId="9" hidden="1"/>
    <cellStyle name="Besuchter Hyperlink" xfId="97" builtinId="9" hidden="1"/>
    <cellStyle name="Besuchter Hyperlink" xfId="99" builtinId="9" hidden="1"/>
    <cellStyle name="Besuchter Hyperlink" xfId="101" builtinId="9" hidden="1"/>
    <cellStyle name="Besuchter Hyperlink" xfId="103" builtinId="9" hidden="1"/>
    <cellStyle name="Besuchter Hyperlink" xfId="105" builtinId="9" hidden="1"/>
    <cellStyle name="Link" xfId="2" builtinId="8" hidden="1"/>
    <cellStyle name="Link" xfId="4" builtinId="8" hidden="1"/>
    <cellStyle name="Link" xfId="6" builtinId="8" hidden="1"/>
    <cellStyle name="Link" xfId="8" builtinId="8" hidden="1"/>
    <cellStyle name="Link" xfId="10" builtinId="8" hidden="1"/>
    <cellStyle name="Link" xfId="12" builtinId="8" hidden="1"/>
    <cellStyle name="Link" xfId="14" builtinId="8" hidden="1"/>
    <cellStyle name="Link" xfId="16" builtinId="8" hidden="1"/>
    <cellStyle name="Link" xfId="18" builtinId="8" hidden="1"/>
    <cellStyle name="Link" xfId="20" builtinId="8" hidden="1"/>
    <cellStyle name="Link" xfId="22" builtinId="8" hidden="1"/>
    <cellStyle name="Link" xfId="24" builtinId="8" hidden="1"/>
    <cellStyle name="Link" xfId="26" builtinId="8" hidden="1"/>
    <cellStyle name="Link" xfId="28" builtinId="8" hidden="1"/>
    <cellStyle name="Link" xfId="30" builtinId="8" hidden="1"/>
    <cellStyle name="Link" xfId="32" builtinId="8" hidden="1"/>
    <cellStyle name="Link" xfId="34" builtinId="8" hidden="1"/>
    <cellStyle name="Link" xfId="36" builtinId="8" hidden="1"/>
    <cellStyle name="Link" xfId="38" builtinId="8" hidden="1"/>
    <cellStyle name="Link" xfId="40" builtinId="8" hidden="1"/>
    <cellStyle name="Link" xfId="42" builtinId="8" hidden="1"/>
    <cellStyle name="Link" xfId="44" builtinId="8" hidden="1"/>
    <cellStyle name="Link" xfId="46" builtinId="8" hidden="1"/>
    <cellStyle name="Link" xfId="48" builtinId="8" hidden="1"/>
    <cellStyle name="Link" xfId="50" builtinId="8" hidden="1"/>
    <cellStyle name="Link" xfId="52" builtinId="8" hidden="1"/>
    <cellStyle name="Link" xfId="54" builtinId="8" hidden="1"/>
    <cellStyle name="Link" xfId="56" builtinId="8" hidden="1"/>
    <cellStyle name="Link" xfId="58" builtinId="8" hidden="1"/>
    <cellStyle name="Link" xfId="60" builtinId="8" hidden="1"/>
    <cellStyle name="Link" xfId="62" builtinId="8" hidden="1"/>
    <cellStyle name="Link" xfId="64" builtinId="8" hidden="1"/>
    <cellStyle name="Link" xfId="66" builtinId="8" hidden="1"/>
    <cellStyle name="Link" xfId="68" builtinId="8" hidden="1"/>
    <cellStyle name="Link" xfId="70" builtinId="8" hidden="1"/>
    <cellStyle name="Link" xfId="72" builtinId="8" hidden="1"/>
    <cellStyle name="Link" xfId="74" builtinId="8" hidden="1"/>
    <cellStyle name="Link" xfId="76" builtinId="8" hidden="1"/>
    <cellStyle name="Link" xfId="78" builtinId="8" hidden="1"/>
    <cellStyle name="Link" xfId="80" builtinId="8" hidden="1"/>
    <cellStyle name="Link" xfId="82" builtinId="8" hidden="1"/>
    <cellStyle name="Link" xfId="84" builtinId="8" hidden="1"/>
    <cellStyle name="Link" xfId="86" builtinId="8" hidden="1"/>
    <cellStyle name="Link" xfId="88" builtinId="8" hidden="1"/>
    <cellStyle name="Link" xfId="90" builtinId="8" hidden="1"/>
    <cellStyle name="Link" xfId="92" builtinId="8" hidden="1"/>
    <cellStyle name="Link" xfId="94" builtinId="8" hidden="1"/>
    <cellStyle name="Link" xfId="96" builtinId="8" hidden="1"/>
    <cellStyle name="Link" xfId="98" builtinId="8" hidden="1"/>
    <cellStyle name="Link" xfId="100" builtinId="8" hidden="1"/>
    <cellStyle name="Link" xfId="102" builtinId="8" hidden="1"/>
    <cellStyle name="Link" xfId="104" builtinId="8" hidden="1"/>
    <cellStyle name="Standard" xfId="0" builtinId="0"/>
    <cellStyle name="Standard 2" xfId="1" xr:uid="{00000000-0005-0000-0000-000069000000}"/>
  </cellStyles>
  <dxfs count="0"/>
  <tableStyles count="0" defaultTableStyle="TableStyleMedium2" defaultPivotStyle="PivotStyleLight16"/>
  <colors>
    <mruColors>
      <color rgb="FFE7E6E6"/>
      <color rgb="FFE6E6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1.xml"/><Relationship Id="rId8" Type="http://schemas.openxmlformats.org/officeDocument/2006/relationships/worksheet" Target="worksheets/sheet8.xml"/><Relationship Id="rId51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2"/>
          <c:order val="0"/>
          <c:tx>
            <c:strRef>
              <c:f>'[1]Fig. 4A '!$X$67</c:f>
              <c:strCache>
                <c:ptCount val="1"/>
                <c:pt idx="0">
                  <c:v>G1</c:v>
                </c:pt>
              </c:strCache>
            </c:strRef>
          </c:tx>
          <c:spPr>
            <a:solidFill>
              <a:schemeClr val="tx1">
                <a:lumMod val="85000"/>
                <a:lumOff val="15000"/>
              </a:schemeClr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'[1]Fig. 4A '!$Y$77:$AB$77</c:f>
                <c:numCache>
                  <c:formatCode>General</c:formatCode>
                  <c:ptCount val="4"/>
                  <c:pt idx="0">
                    <c:v>2.9815687521691427</c:v>
                  </c:pt>
                  <c:pt idx="1">
                    <c:v>2.8874397090558932</c:v>
                  </c:pt>
                  <c:pt idx="2">
                    <c:v>4.6605320961591232</c:v>
                  </c:pt>
                  <c:pt idx="3">
                    <c:v>1.687153863783788</c:v>
                  </c:pt>
                </c:numCache>
              </c:numRef>
            </c:plus>
            <c:minus>
              <c:numRef>
                <c:f>'[1]Fig. 4A '!$Y$77:$AB$77</c:f>
                <c:numCache>
                  <c:formatCode>General</c:formatCode>
                  <c:ptCount val="4"/>
                  <c:pt idx="0">
                    <c:v>2.9815687521691427</c:v>
                  </c:pt>
                  <c:pt idx="1">
                    <c:v>2.8874397090558932</c:v>
                  </c:pt>
                  <c:pt idx="2">
                    <c:v>4.6605320961591232</c:v>
                  </c:pt>
                  <c:pt idx="3">
                    <c:v>1.687153863783788</c:v>
                  </c:pt>
                </c:numCache>
              </c:numRef>
            </c:minus>
          </c:errBars>
          <c:cat>
            <c:strRef>
              <c:f>'[1]Fig. 4A '!$Y$66:$AB$66</c:f>
              <c:strCache>
                <c:ptCount val="4"/>
                <c:pt idx="0">
                  <c:v>C</c:v>
                </c:pt>
                <c:pt idx="1">
                  <c:v>H1</c:v>
                </c:pt>
                <c:pt idx="2">
                  <c:v>H2</c:v>
                </c:pt>
                <c:pt idx="3">
                  <c:v>H3</c:v>
                </c:pt>
              </c:strCache>
            </c:strRef>
          </c:cat>
          <c:val>
            <c:numRef>
              <c:f>'[1]Fig. 4A '!$Y$67:$AB$67</c:f>
              <c:numCache>
                <c:formatCode>General</c:formatCode>
                <c:ptCount val="4"/>
                <c:pt idx="0">
                  <c:v>63.064451934245902</c:v>
                </c:pt>
                <c:pt idx="1">
                  <c:v>56.272055093671284</c:v>
                </c:pt>
                <c:pt idx="2">
                  <c:v>64.105385940423417</c:v>
                </c:pt>
                <c:pt idx="3">
                  <c:v>67.748861645345372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A1-4545-8C68-7BC68965F365}"/>
            </c:ext>
          </c:extLst>
        </c:ser>
        <c:ser>
          <c:idx val="1"/>
          <c:order val="1"/>
          <c:tx>
            <c:strRef>
              <c:f>'[1]Fig. 4A '!$X$68</c:f>
              <c:strCache>
                <c:ptCount val="1"/>
                <c:pt idx="0">
                  <c:v>S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'[1]Fig. 4A '!$Y$78:$AB$78</c:f>
                <c:numCache>
                  <c:formatCode>General</c:formatCode>
                  <c:ptCount val="4"/>
                  <c:pt idx="0">
                    <c:v>2.1174282292503679</c:v>
                  </c:pt>
                  <c:pt idx="1">
                    <c:v>0.59146721167510385</c:v>
                  </c:pt>
                  <c:pt idx="2">
                    <c:v>1.9472563548302575</c:v>
                  </c:pt>
                  <c:pt idx="3">
                    <c:v>1.2589397108515221</c:v>
                  </c:pt>
                </c:numCache>
              </c:numRef>
            </c:plus>
            <c:minus>
              <c:numRef>
                <c:f>'[1]Fig. 4A '!$Y$78:$AB$78</c:f>
                <c:numCache>
                  <c:formatCode>General</c:formatCode>
                  <c:ptCount val="4"/>
                  <c:pt idx="0">
                    <c:v>2.1174282292503679</c:v>
                  </c:pt>
                  <c:pt idx="1">
                    <c:v>0.59146721167510385</c:v>
                  </c:pt>
                  <c:pt idx="2">
                    <c:v>1.9472563548302575</c:v>
                  </c:pt>
                  <c:pt idx="3">
                    <c:v>1.2589397108515221</c:v>
                  </c:pt>
                </c:numCache>
              </c:numRef>
            </c:minus>
          </c:errBars>
          <c:cat>
            <c:strRef>
              <c:f>'[1]Fig. 4A '!$Y$66:$AB$66</c:f>
              <c:strCache>
                <c:ptCount val="4"/>
                <c:pt idx="0">
                  <c:v>C</c:v>
                </c:pt>
                <c:pt idx="1">
                  <c:v>H1</c:v>
                </c:pt>
                <c:pt idx="2">
                  <c:v>H2</c:v>
                </c:pt>
                <c:pt idx="3">
                  <c:v>H3</c:v>
                </c:pt>
              </c:strCache>
            </c:strRef>
          </c:cat>
          <c:val>
            <c:numRef>
              <c:f>'[1]Fig. 4A '!$Y$68:$AB$68</c:f>
              <c:numCache>
                <c:formatCode>General</c:formatCode>
                <c:ptCount val="4"/>
                <c:pt idx="0">
                  <c:v>16.947857798589087</c:v>
                </c:pt>
                <c:pt idx="1">
                  <c:v>19.122818502610613</c:v>
                </c:pt>
                <c:pt idx="2">
                  <c:v>15.272100068652909</c:v>
                </c:pt>
                <c:pt idx="3">
                  <c:v>13.405565242870425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A1-4545-8C68-7BC68965F365}"/>
            </c:ext>
          </c:extLst>
        </c:ser>
        <c:ser>
          <c:idx val="0"/>
          <c:order val="2"/>
          <c:tx>
            <c:strRef>
              <c:f>'[1]Fig. 4A '!$X$69</c:f>
              <c:strCache>
                <c:ptCount val="1"/>
                <c:pt idx="0">
                  <c:v>G2/M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'[1]Fig. 4A '!$Y$82:$AB$82</c:f>
                <c:numCache>
                  <c:formatCode>General</c:formatCode>
                  <c:ptCount val="4"/>
                  <c:pt idx="0">
                    <c:v>1.0990478502134389</c:v>
                  </c:pt>
                  <c:pt idx="1">
                    <c:v>2.2959724973807898</c:v>
                  </c:pt>
                  <c:pt idx="2">
                    <c:v>2.7132757413288426</c:v>
                  </c:pt>
                  <c:pt idx="3">
                    <c:v>1.5504123582885176</c:v>
                  </c:pt>
                </c:numCache>
              </c:numRef>
            </c:plus>
            <c:minus>
              <c:numRef>
                <c:f>'[1]Fig. 4A '!$Y$82:$AB$82</c:f>
                <c:numCache>
                  <c:formatCode>General</c:formatCode>
                  <c:ptCount val="4"/>
                  <c:pt idx="0">
                    <c:v>1.0990478502134389</c:v>
                  </c:pt>
                  <c:pt idx="1">
                    <c:v>2.2959724973807898</c:v>
                  </c:pt>
                  <c:pt idx="2">
                    <c:v>2.7132757413288426</c:v>
                  </c:pt>
                  <c:pt idx="3">
                    <c:v>1.5504123582885176</c:v>
                  </c:pt>
                </c:numCache>
              </c:numRef>
            </c:minus>
          </c:errBars>
          <c:cat>
            <c:strRef>
              <c:f>'[1]Fig. 4A '!$Y$66:$AB$66</c:f>
              <c:strCache>
                <c:ptCount val="4"/>
                <c:pt idx="0">
                  <c:v>C</c:v>
                </c:pt>
                <c:pt idx="1">
                  <c:v>H1</c:v>
                </c:pt>
                <c:pt idx="2">
                  <c:v>H2</c:v>
                </c:pt>
                <c:pt idx="3">
                  <c:v>H3</c:v>
                </c:pt>
              </c:strCache>
            </c:strRef>
          </c:cat>
          <c:val>
            <c:numRef>
              <c:f>'[1]Fig. 4A '!$Y$69:$AB$69</c:f>
              <c:numCache>
                <c:formatCode>General</c:formatCode>
                <c:ptCount val="4"/>
                <c:pt idx="0">
                  <c:v>19.987690267165025</c:v>
                </c:pt>
                <c:pt idx="1">
                  <c:v>24.60512640371811</c:v>
                </c:pt>
                <c:pt idx="2">
                  <c:v>20.622513990923668</c:v>
                </c:pt>
                <c:pt idx="3">
                  <c:v>18.845573111784201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A1-4545-8C68-7BC68965F3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63579776"/>
        <c:axId val="163581312"/>
      </c:barChart>
      <c:catAx>
        <c:axId val="1635797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63581312"/>
        <c:crosses val="autoZero"/>
        <c:auto val="1"/>
        <c:lblAlgn val="ctr"/>
        <c:lblOffset val="100"/>
        <c:noMultiLvlLbl val="0"/>
      </c:catAx>
      <c:valAx>
        <c:axId val="1635813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635797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'[1]Fig. 4A '!$W$87</c:f>
              <c:strCache>
                <c:ptCount val="1"/>
                <c:pt idx="0">
                  <c:v>C</c:v>
                </c:pt>
              </c:strCache>
            </c:strRef>
          </c:tx>
          <c:spPr>
            <a:ln>
              <a:solidFill>
                <a:srgbClr val="404040"/>
              </a:solidFill>
            </a:ln>
          </c:spPr>
          <c:marker>
            <c:symbol val="circle"/>
            <c:size val="7"/>
            <c:spPr>
              <a:solidFill>
                <a:srgbClr val="404040"/>
              </a:solidFill>
              <a:ln w="12700">
                <a:solidFill>
                  <a:srgbClr val="40404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'[1]Fig. 4A '!$X$93:$AA$93</c:f>
                <c:numCache>
                  <c:formatCode>General</c:formatCode>
                  <c:ptCount val="4"/>
                  <c:pt idx="0">
                    <c:v>2.3042145722013507</c:v>
                  </c:pt>
                  <c:pt idx="1">
                    <c:v>0.94381845317958513</c:v>
                  </c:pt>
                  <c:pt idx="2">
                    <c:v>3.1110091046915982</c:v>
                  </c:pt>
                  <c:pt idx="3">
                    <c:v>2.9815687521691427</c:v>
                  </c:pt>
                </c:numCache>
              </c:numRef>
            </c:plus>
            <c:minus>
              <c:numRef>
                <c:f>'[1]Fig. 4A '!$X$93:$AA$93</c:f>
                <c:numCache>
                  <c:formatCode>General</c:formatCode>
                  <c:ptCount val="4"/>
                  <c:pt idx="0">
                    <c:v>2.3042145722013507</c:v>
                  </c:pt>
                  <c:pt idx="1">
                    <c:v>0.94381845317958513</c:v>
                  </c:pt>
                  <c:pt idx="2">
                    <c:v>3.1110091046915982</c:v>
                  </c:pt>
                  <c:pt idx="3">
                    <c:v>2.9815687521691427</c:v>
                  </c:pt>
                </c:numCache>
              </c:numRef>
            </c:minus>
          </c:errBars>
          <c:cat>
            <c:strRef>
              <c:f>'[1]Fig. 4A '!$X$86:$AA$86</c:f>
              <c:strCache>
                <c:ptCount val="4"/>
                <c:pt idx="0">
                  <c:v>d0</c:v>
                </c:pt>
                <c:pt idx="1">
                  <c:v>d1</c:v>
                </c:pt>
                <c:pt idx="2">
                  <c:v>d2</c:v>
                </c:pt>
                <c:pt idx="3">
                  <c:v>d3</c:v>
                </c:pt>
              </c:strCache>
            </c:strRef>
          </c:cat>
          <c:val>
            <c:numRef>
              <c:f>'[1]Fig. 4A '!$X$87:$AA$87</c:f>
              <c:numCache>
                <c:formatCode>General</c:formatCode>
                <c:ptCount val="4"/>
                <c:pt idx="0">
                  <c:v>34.519490403082301</c:v>
                </c:pt>
                <c:pt idx="1">
                  <c:v>17.074335173866189</c:v>
                </c:pt>
                <c:pt idx="2">
                  <c:v>54.636294584738899</c:v>
                </c:pt>
                <c:pt idx="3">
                  <c:v>63.064451934245902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673-7442-B66E-411CF46F7671}"/>
            </c:ext>
          </c:extLst>
        </c:ser>
        <c:ser>
          <c:idx val="1"/>
          <c:order val="1"/>
          <c:tx>
            <c:strRef>
              <c:f>'[1]Fig. 4A '!$W$88</c:f>
              <c:strCache>
                <c:ptCount val="1"/>
                <c:pt idx="0">
                  <c:v>H1</c:v>
                </c:pt>
              </c:strCache>
            </c:strRef>
          </c:tx>
          <c:spPr>
            <a:ln>
              <a:solidFill>
                <a:srgbClr val="8C0D15"/>
              </a:solidFill>
            </a:ln>
          </c:spPr>
          <c:marker>
            <c:spPr>
              <a:solidFill>
                <a:srgbClr val="8C0D15"/>
              </a:solidFill>
              <a:ln>
                <a:solidFill>
                  <a:srgbClr val="8C0D15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'[1]Fig. 4A '!$X$94:$AA$94</c:f>
                <c:numCache>
                  <c:formatCode>General</c:formatCode>
                  <c:ptCount val="4"/>
                  <c:pt idx="0">
                    <c:v>4.2011469964259227</c:v>
                  </c:pt>
                  <c:pt idx="1">
                    <c:v>0.44080925786703595</c:v>
                  </c:pt>
                  <c:pt idx="2">
                    <c:v>3.0985753278004182</c:v>
                  </c:pt>
                  <c:pt idx="3">
                    <c:v>2.8874397090558932</c:v>
                  </c:pt>
                </c:numCache>
              </c:numRef>
            </c:plus>
            <c:minus>
              <c:numRef>
                <c:f>'[1]Fig. 4A '!$X$94:$AA$94</c:f>
                <c:numCache>
                  <c:formatCode>General</c:formatCode>
                  <c:ptCount val="4"/>
                  <c:pt idx="0">
                    <c:v>4.2011469964259227</c:v>
                  </c:pt>
                  <c:pt idx="1">
                    <c:v>0.44080925786703595</c:v>
                  </c:pt>
                  <c:pt idx="2">
                    <c:v>3.0985753278004182</c:v>
                  </c:pt>
                  <c:pt idx="3">
                    <c:v>2.8874397090558932</c:v>
                  </c:pt>
                </c:numCache>
              </c:numRef>
            </c:minus>
          </c:errBars>
          <c:cat>
            <c:strRef>
              <c:f>'[1]Fig. 4A '!$X$86:$AA$86</c:f>
              <c:strCache>
                <c:ptCount val="4"/>
                <c:pt idx="0">
                  <c:v>d0</c:v>
                </c:pt>
                <c:pt idx="1">
                  <c:v>d1</c:v>
                </c:pt>
                <c:pt idx="2">
                  <c:v>d2</c:v>
                </c:pt>
                <c:pt idx="3">
                  <c:v>d3</c:v>
                </c:pt>
              </c:strCache>
            </c:strRef>
          </c:cat>
          <c:val>
            <c:numRef>
              <c:f>'[1]Fig. 4A '!$X$88:$AA$88</c:f>
              <c:numCache>
                <c:formatCode>General</c:formatCode>
                <c:ptCount val="4"/>
                <c:pt idx="0">
                  <c:v>31.256332817996707</c:v>
                </c:pt>
                <c:pt idx="1">
                  <c:v>29.190809257867038</c:v>
                </c:pt>
                <c:pt idx="2">
                  <c:v>18.06391447437472</c:v>
                </c:pt>
                <c:pt idx="3">
                  <c:v>56.272055093671284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673-7442-B66E-411CF46F7671}"/>
            </c:ext>
          </c:extLst>
        </c:ser>
        <c:ser>
          <c:idx val="2"/>
          <c:order val="2"/>
          <c:tx>
            <c:strRef>
              <c:f>'[1]Fig. 4A '!$W$89</c:f>
              <c:strCache>
                <c:ptCount val="1"/>
                <c:pt idx="0">
                  <c:v>H2</c:v>
                </c:pt>
              </c:strCache>
            </c:strRef>
          </c:tx>
          <c:spPr>
            <a:ln>
              <a:solidFill>
                <a:srgbClr val="D42318"/>
              </a:solidFill>
            </a:ln>
          </c:spPr>
          <c:marker>
            <c:symbol val="diamond"/>
            <c:size val="9"/>
            <c:spPr>
              <a:solidFill>
                <a:srgbClr val="D42318"/>
              </a:solidFill>
              <a:ln>
                <a:solidFill>
                  <a:srgbClr val="D42318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'[1]Fig. 4A '!$X$95:$AA$95</c:f>
                <c:numCache>
                  <c:formatCode>General</c:formatCode>
                  <c:ptCount val="4"/>
                  <c:pt idx="0">
                    <c:v>2.5847282361999535</c:v>
                  </c:pt>
                  <c:pt idx="1">
                    <c:v>3.4426584595571263</c:v>
                  </c:pt>
                  <c:pt idx="2">
                    <c:v>0.74224129773450176</c:v>
                  </c:pt>
                  <c:pt idx="3">
                    <c:v>4.6605320961591232</c:v>
                  </c:pt>
                </c:numCache>
              </c:numRef>
            </c:plus>
            <c:minus>
              <c:numRef>
                <c:f>'[1]Fig. 4A '!$X$95:$AA$95</c:f>
                <c:numCache>
                  <c:formatCode>General</c:formatCode>
                  <c:ptCount val="4"/>
                  <c:pt idx="0">
                    <c:v>2.5847282361999535</c:v>
                  </c:pt>
                  <c:pt idx="1">
                    <c:v>3.4426584595571263</c:v>
                  </c:pt>
                  <c:pt idx="2">
                    <c:v>0.74224129773450176</c:v>
                  </c:pt>
                  <c:pt idx="3">
                    <c:v>4.6605320961591232</c:v>
                  </c:pt>
                </c:numCache>
              </c:numRef>
            </c:minus>
          </c:errBars>
          <c:cat>
            <c:strRef>
              <c:f>'[1]Fig. 4A '!$X$86:$AA$86</c:f>
              <c:strCache>
                <c:ptCount val="4"/>
                <c:pt idx="0">
                  <c:v>d0</c:v>
                </c:pt>
                <c:pt idx="1">
                  <c:v>d1</c:v>
                </c:pt>
                <c:pt idx="2">
                  <c:v>d2</c:v>
                </c:pt>
                <c:pt idx="3">
                  <c:v>d3</c:v>
                </c:pt>
              </c:strCache>
            </c:strRef>
          </c:cat>
          <c:val>
            <c:numRef>
              <c:f>'[1]Fig. 4A '!$X$89:$AA$89</c:f>
              <c:numCache>
                <c:formatCode>General</c:formatCode>
                <c:ptCount val="4"/>
                <c:pt idx="0">
                  <c:v>35.381839201400226</c:v>
                </c:pt>
                <c:pt idx="1">
                  <c:v>22.440079116728828</c:v>
                </c:pt>
                <c:pt idx="2">
                  <c:v>26.973185751913586</c:v>
                </c:pt>
                <c:pt idx="3">
                  <c:v>64.105385940423417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673-7442-B66E-411CF46F7671}"/>
            </c:ext>
          </c:extLst>
        </c:ser>
        <c:ser>
          <c:idx val="3"/>
          <c:order val="3"/>
          <c:tx>
            <c:strRef>
              <c:f>'[1]Fig. 4A '!$W$90</c:f>
              <c:strCache>
                <c:ptCount val="1"/>
                <c:pt idx="0">
                  <c:v>H3</c:v>
                </c:pt>
              </c:strCache>
            </c:strRef>
          </c:tx>
          <c:spPr>
            <a:ln>
              <a:solidFill>
                <a:srgbClr val="D9665A"/>
              </a:solidFill>
            </a:ln>
          </c:spPr>
          <c:marker>
            <c:symbol val="triangle"/>
            <c:size val="8"/>
            <c:spPr>
              <a:solidFill>
                <a:srgbClr val="D9665A"/>
              </a:solidFill>
              <a:ln>
                <a:solidFill>
                  <a:srgbClr val="D9665A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'[1]Fig. 4A '!$X$96:$AA$96</c:f>
                <c:numCache>
                  <c:formatCode>General</c:formatCode>
                  <c:ptCount val="4"/>
                  <c:pt idx="0">
                    <c:v>1.4321320503023713</c:v>
                  </c:pt>
                  <c:pt idx="1">
                    <c:v>0.66268538015404921</c:v>
                  </c:pt>
                  <c:pt idx="2">
                    <c:v>2.1583845304712219</c:v>
                  </c:pt>
                  <c:pt idx="3">
                    <c:v>1.687153863783788</c:v>
                  </c:pt>
                </c:numCache>
              </c:numRef>
            </c:plus>
            <c:minus>
              <c:numRef>
                <c:f>'[1]Fig. 4A '!$X$96:$AA$96</c:f>
                <c:numCache>
                  <c:formatCode>General</c:formatCode>
                  <c:ptCount val="4"/>
                  <c:pt idx="0">
                    <c:v>1.4321320503023713</c:v>
                  </c:pt>
                  <c:pt idx="1">
                    <c:v>0.66268538015404921</c:v>
                  </c:pt>
                  <c:pt idx="2">
                    <c:v>2.1583845304712219</c:v>
                  </c:pt>
                  <c:pt idx="3">
                    <c:v>1.687153863783788</c:v>
                  </c:pt>
                </c:numCache>
              </c:numRef>
            </c:minus>
          </c:errBars>
          <c:cat>
            <c:strRef>
              <c:f>'[1]Fig. 4A '!$X$86:$AA$86</c:f>
              <c:strCache>
                <c:ptCount val="4"/>
                <c:pt idx="0">
                  <c:v>d0</c:v>
                </c:pt>
                <c:pt idx="1">
                  <c:v>d1</c:v>
                </c:pt>
                <c:pt idx="2">
                  <c:v>d2</c:v>
                </c:pt>
                <c:pt idx="3">
                  <c:v>d3</c:v>
                </c:pt>
              </c:strCache>
            </c:strRef>
          </c:cat>
          <c:val>
            <c:numRef>
              <c:f>'[1]Fig. 4A '!$X$90:$AA$90</c:f>
              <c:numCache>
                <c:formatCode>General</c:formatCode>
                <c:ptCount val="4"/>
                <c:pt idx="0">
                  <c:v>31.751975392338927</c:v>
                </c:pt>
                <c:pt idx="1">
                  <c:v>13.91347282448988</c:v>
                </c:pt>
                <c:pt idx="2">
                  <c:v>26.899998332167584</c:v>
                </c:pt>
                <c:pt idx="3">
                  <c:v>67.748861645345372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673-7442-B66E-411CF46F76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619584"/>
        <c:axId val="163621120"/>
      </c:lineChart>
      <c:catAx>
        <c:axId val="1636195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63621120"/>
        <c:crosses val="autoZero"/>
        <c:auto val="1"/>
        <c:lblAlgn val="ctr"/>
        <c:lblOffset val="100"/>
        <c:noMultiLvlLbl val="0"/>
      </c:catAx>
      <c:valAx>
        <c:axId val="1636211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63619584"/>
        <c:crosses val="autoZero"/>
        <c:crossBetween val="between"/>
        <c:majorUnit val="20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Controls</c:v>
          </c:tx>
          <c:spPr>
            <a:ln>
              <a:solidFill>
                <a:schemeClr val="tx1">
                  <a:lumMod val="75000"/>
                  <a:lumOff val="25000"/>
                </a:schemeClr>
              </a:solidFill>
            </a:ln>
          </c:spPr>
          <c:marker>
            <c:symbol val="circle"/>
            <c:size val="4"/>
            <c:spPr>
              <a:solidFill>
                <a:schemeClr val="tx1"/>
              </a:solidFill>
              <a:ln w="3175" cmpd="sng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'[2]Figure 6C'!$E$49:$K$49</c:f>
                <c:numCache>
                  <c:formatCode>General</c:formatCode>
                  <c:ptCount val="7"/>
                  <c:pt idx="0">
                    <c:v>8.9733164528654208E-2</c:v>
                  </c:pt>
                  <c:pt idx="1">
                    <c:v>9.7515043318810016E-2</c:v>
                  </c:pt>
                  <c:pt idx="2">
                    <c:v>0.12367563731514028</c:v>
                  </c:pt>
                  <c:pt idx="3">
                    <c:v>0.14810968770420366</c:v>
                  </c:pt>
                  <c:pt idx="4">
                    <c:v>0.16126730250470125</c:v>
                  </c:pt>
                  <c:pt idx="5">
                    <c:v>0.16352931460351014</c:v>
                  </c:pt>
                  <c:pt idx="6">
                    <c:v>0.20732504303481475</c:v>
                  </c:pt>
                </c:numCache>
              </c:numRef>
            </c:plus>
            <c:minus>
              <c:numRef>
                <c:f>'[2]Figure 6C'!$E$49:$K$49</c:f>
                <c:numCache>
                  <c:formatCode>General</c:formatCode>
                  <c:ptCount val="7"/>
                  <c:pt idx="0">
                    <c:v>8.9733164528654208E-2</c:v>
                  </c:pt>
                  <c:pt idx="1">
                    <c:v>9.7515043318810016E-2</c:v>
                  </c:pt>
                  <c:pt idx="2">
                    <c:v>0.12367563731514028</c:v>
                  </c:pt>
                  <c:pt idx="3">
                    <c:v>0.14810968770420366</c:v>
                  </c:pt>
                  <c:pt idx="4">
                    <c:v>0.16126730250470125</c:v>
                  </c:pt>
                  <c:pt idx="5">
                    <c:v>0.16352931460351014</c:v>
                  </c:pt>
                  <c:pt idx="6">
                    <c:v>0.20732504303481475</c:v>
                  </c:pt>
                </c:numCache>
              </c:numRef>
            </c:minus>
            <c:spPr>
              <a:ln w="12700"/>
            </c:spPr>
          </c:errBars>
          <c:val>
            <c:numRef>
              <c:f>'[2]Figure 6C'!$E$39:$K$39</c:f>
              <c:numCache>
                <c:formatCode>General</c:formatCode>
                <c:ptCount val="7"/>
                <c:pt idx="0">
                  <c:v>0.70750000000000002</c:v>
                </c:pt>
                <c:pt idx="1">
                  <c:v>0.79749999999999999</c:v>
                </c:pt>
                <c:pt idx="2">
                  <c:v>0.86125000000000007</c:v>
                </c:pt>
                <c:pt idx="3">
                  <c:v>0.95125000000000004</c:v>
                </c:pt>
                <c:pt idx="4">
                  <c:v>1.0575000000000001</c:v>
                </c:pt>
                <c:pt idx="5">
                  <c:v>1.1575000000000002</c:v>
                </c:pt>
                <c:pt idx="6">
                  <c:v>1.3149999999999999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9E-7546-8F46-19F6526591FA}"/>
            </c:ext>
          </c:extLst>
        </c:ser>
        <c:ser>
          <c:idx val="1"/>
          <c:order val="1"/>
          <c:tx>
            <c:v>HLHS1</c:v>
          </c:tx>
          <c:spPr>
            <a:ln>
              <a:solidFill>
                <a:srgbClr val="D42318"/>
              </a:solidFill>
            </a:ln>
          </c:spPr>
          <c:marker>
            <c:symbol val="diamond"/>
            <c:size val="4"/>
            <c:spPr>
              <a:solidFill>
                <a:srgbClr val="D42318"/>
              </a:solidFill>
              <a:ln>
                <a:noFill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'[2]Figure 6C'!$E$51:$K$51</c:f>
                <c:numCache>
                  <c:formatCode>General</c:formatCode>
                  <c:ptCount val="7"/>
                  <c:pt idx="0">
                    <c:v>1.5776212754932309E-2</c:v>
                  </c:pt>
                  <c:pt idx="1">
                    <c:v>4.498147766951785E-2</c:v>
                  </c:pt>
                  <c:pt idx="2">
                    <c:v>5.3965009239526726E-2</c:v>
                  </c:pt>
                  <c:pt idx="3">
                    <c:v>4.5129443456203289E-2</c:v>
                  </c:pt>
                  <c:pt idx="4">
                    <c:v>3.7549966711037178E-2</c:v>
                  </c:pt>
                  <c:pt idx="5">
                    <c:v>2.6997942308422174E-2</c:v>
                  </c:pt>
                  <c:pt idx="6">
                    <c:v>2.3285665595430629E-2</c:v>
                  </c:pt>
                </c:numCache>
              </c:numRef>
            </c:plus>
            <c:minus>
              <c:numRef>
                <c:f>'[2]Figure 6C'!$E$51:$K$51</c:f>
                <c:numCache>
                  <c:formatCode>General</c:formatCode>
                  <c:ptCount val="7"/>
                  <c:pt idx="0">
                    <c:v>1.5776212754932309E-2</c:v>
                  </c:pt>
                  <c:pt idx="1">
                    <c:v>4.498147766951785E-2</c:v>
                  </c:pt>
                  <c:pt idx="2">
                    <c:v>5.3965009239526726E-2</c:v>
                  </c:pt>
                  <c:pt idx="3">
                    <c:v>4.5129443456203289E-2</c:v>
                  </c:pt>
                  <c:pt idx="4">
                    <c:v>3.7549966711037178E-2</c:v>
                  </c:pt>
                  <c:pt idx="5">
                    <c:v>2.6997942308422174E-2</c:v>
                  </c:pt>
                  <c:pt idx="6">
                    <c:v>2.3285665595430629E-2</c:v>
                  </c:pt>
                </c:numCache>
              </c:numRef>
            </c:minus>
            <c:spPr>
              <a:ln w="12700"/>
            </c:spPr>
          </c:errBars>
          <c:val>
            <c:numRef>
              <c:f>'[2]Figure 6C'!$E$40:$K$40</c:f>
              <c:numCache>
                <c:formatCode>General</c:formatCode>
                <c:ptCount val="7"/>
                <c:pt idx="0">
                  <c:v>0.38666666666666671</c:v>
                </c:pt>
                <c:pt idx="1">
                  <c:v>0.42666666666666669</c:v>
                </c:pt>
                <c:pt idx="2">
                  <c:v>0.39666666666666667</c:v>
                </c:pt>
                <c:pt idx="3">
                  <c:v>0.38333333333333336</c:v>
                </c:pt>
                <c:pt idx="4">
                  <c:v>0.32</c:v>
                </c:pt>
                <c:pt idx="5">
                  <c:v>0.27666666666666667</c:v>
                </c:pt>
                <c:pt idx="6">
                  <c:v>0.21999999999999997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9E-7546-8F46-19F6526591FA}"/>
            </c:ext>
          </c:extLst>
        </c:ser>
        <c:ser>
          <c:idx val="2"/>
          <c:order val="2"/>
          <c:tx>
            <c:v>HLHS2</c:v>
          </c:tx>
          <c:spPr>
            <a:ln>
              <a:solidFill>
                <a:srgbClr val="D9665A"/>
              </a:solidFill>
            </a:ln>
          </c:spPr>
          <c:marker>
            <c:symbol val="triangle"/>
            <c:size val="4"/>
            <c:spPr>
              <a:solidFill>
                <a:srgbClr val="D9665A"/>
              </a:solidFill>
              <a:ln>
                <a:noFill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'[2]Figure 6C'!$AC$11:$AI$11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'[2]Figure 6C'!$AC$11:$AI$11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  <c:spPr>
              <a:ln w="12700"/>
            </c:spPr>
          </c:errBars>
          <c:val>
            <c:numRef>
              <c:f>'[2]Figure 6C'!$E$41:$K$41</c:f>
              <c:numCache>
                <c:formatCode>General</c:formatCode>
                <c:ptCount val="7"/>
                <c:pt idx="0">
                  <c:v>0.38666666666666666</c:v>
                </c:pt>
                <c:pt idx="1">
                  <c:v>0.39500000000000002</c:v>
                </c:pt>
                <c:pt idx="2">
                  <c:v>0.41833333333333339</c:v>
                </c:pt>
                <c:pt idx="3">
                  <c:v>0.34500000000000003</c:v>
                </c:pt>
                <c:pt idx="4">
                  <c:v>0.29499999999999998</c:v>
                </c:pt>
                <c:pt idx="5">
                  <c:v>0.19333333333333333</c:v>
                </c:pt>
                <c:pt idx="6">
                  <c:v>0.14333333333333334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9E-7546-8F46-19F6526591FA}"/>
            </c:ext>
          </c:extLst>
        </c:ser>
        <c:ser>
          <c:idx val="3"/>
          <c:order val="3"/>
          <c:tx>
            <c:v>HLHS3</c:v>
          </c:tx>
          <c:spPr>
            <a:ln>
              <a:solidFill>
                <a:srgbClr val="980020"/>
              </a:solidFill>
            </a:ln>
          </c:spPr>
          <c:marker>
            <c:symbol val="square"/>
            <c:size val="3"/>
            <c:spPr>
              <a:solidFill>
                <a:srgbClr val="980020"/>
              </a:solidFill>
              <a:ln>
                <a:noFill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'[2]Figure 6C'!$E$50:$K$50</c:f>
                <c:numCache>
                  <c:formatCode>General</c:formatCode>
                  <c:ptCount val="7"/>
                  <c:pt idx="0">
                    <c:v>6.6666666666666723E-3</c:v>
                  </c:pt>
                  <c:pt idx="1">
                    <c:v>4.1766546953805474E-2</c:v>
                  </c:pt>
                  <c:pt idx="2">
                    <c:v>3.6666666666666667E-2</c:v>
                  </c:pt>
                  <c:pt idx="3">
                    <c:v>4.33333333333333E-2</c:v>
                  </c:pt>
                  <c:pt idx="4">
                    <c:v>3.0550504633038916E-2</c:v>
                  </c:pt>
                  <c:pt idx="5">
                    <c:v>3.7118429085533491E-2</c:v>
                  </c:pt>
                  <c:pt idx="6">
                    <c:v>2.309401076758516E-2</c:v>
                  </c:pt>
                </c:numCache>
              </c:numRef>
            </c:plus>
            <c:minus>
              <c:numRef>
                <c:f>'[2]Figure 6C'!$E$50:$K$50</c:f>
                <c:numCache>
                  <c:formatCode>General</c:formatCode>
                  <c:ptCount val="7"/>
                  <c:pt idx="0">
                    <c:v>6.6666666666666723E-3</c:v>
                  </c:pt>
                  <c:pt idx="1">
                    <c:v>4.1766546953805474E-2</c:v>
                  </c:pt>
                  <c:pt idx="2">
                    <c:v>3.6666666666666667E-2</c:v>
                  </c:pt>
                  <c:pt idx="3">
                    <c:v>4.33333333333333E-2</c:v>
                  </c:pt>
                  <c:pt idx="4">
                    <c:v>3.0550504633038916E-2</c:v>
                  </c:pt>
                  <c:pt idx="5">
                    <c:v>3.7118429085533491E-2</c:v>
                  </c:pt>
                  <c:pt idx="6">
                    <c:v>2.309401076758516E-2</c:v>
                  </c:pt>
                </c:numCache>
              </c:numRef>
            </c:minus>
            <c:spPr>
              <a:ln w="12700"/>
            </c:spPr>
          </c:errBars>
          <c:val>
            <c:numRef>
              <c:f>'[2]Figure 6C'!$E$42:$K$42</c:f>
              <c:numCache>
                <c:formatCode>General</c:formatCode>
                <c:ptCount val="7"/>
                <c:pt idx="0">
                  <c:v>0.38999999999999996</c:v>
                </c:pt>
                <c:pt idx="1">
                  <c:v>0.4366666666666667</c:v>
                </c:pt>
                <c:pt idx="2">
                  <c:v>0.41333333333333333</c:v>
                </c:pt>
                <c:pt idx="3">
                  <c:v>0.34666666666666668</c:v>
                </c:pt>
                <c:pt idx="4">
                  <c:v>0.33333333333333331</c:v>
                </c:pt>
                <c:pt idx="5">
                  <c:v>0.19999999999999998</c:v>
                </c:pt>
                <c:pt idx="6">
                  <c:v>0.16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9E-7546-8F46-19F6526591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587008"/>
        <c:axId val="204588544"/>
      </c:lineChart>
      <c:catAx>
        <c:axId val="204587008"/>
        <c:scaling>
          <c:orientation val="minMax"/>
        </c:scaling>
        <c:delete val="0"/>
        <c:axPos val="b"/>
        <c:majorTickMark val="none"/>
        <c:minorTickMark val="none"/>
        <c:tickLblPos val="none"/>
        <c:crossAx val="204588544"/>
        <c:crosses val="autoZero"/>
        <c:auto val="1"/>
        <c:lblAlgn val="ctr"/>
        <c:lblOffset val="100"/>
        <c:noMultiLvlLbl val="0"/>
      </c:catAx>
      <c:valAx>
        <c:axId val="204588544"/>
        <c:scaling>
          <c:orientation val="minMax"/>
          <c:max val="1.6"/>
          <c:min val="0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2045870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69</xdr:row>
      <xdr:rowOff>0</xdr:rowOff>
    </xdr:from>
    <xdr:to>
      <xdr:col>36</xdr:col>
      <xdr:colOff>29308</xdr:colOff>
      <xdr:row>86</xdr:row>
      <xdr:rowOff>7816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771218</xdr:colOff>
      <xdr:row>88</xdr:row>
      <xdr:rowOff>26425</xdr:rowOff>
    </xdr:from>
    <xdr:to>
      <xdr:col>34</xdr:col>
      <xdr:colOff>580718</xdr:colOff>
      <xdr:row>103</xdr:row>
      <xdr:rowOff>4302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55626</xdr:colOff>
      <xdr:row>3</xdr:row>
      <xdr:rowOff>64637</xdr:rowOff>
    </xdr:from>
    <xdr:to>
      <xdr:col>41</xdr:col>
      <xdr:colOff>208</xdr:colOff>
      <xdr:row>16</xdr:row>
      <xdr:rowOff>87500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C9013E7-F533-BA4E-A1CF-E47C1E6A3B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LHS_Circulation/Ilaria_20201004/Fig4A_recalculated_Ilaria_202010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HLHS_Circulation/Christines_data_October2020/20201018/Input%20data%20Figure%206_final_CM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. 4A "/>
      <sheetName val="Fig. 4A  (2)"/>
      <sheetName val="Statistics Fig4A"/>
    </sheetNames>
    <sheetDataSet>
      <sheetData sheetId="0">
        <row r="66">
          <cell r="Y66" t="str">
            <v>C</v>
          </cell>
          <cell r="Z66" t="str">
            <v>H1</v>
          </cell>
          <cell r="AA66" t="str">
            <v>H2</v>
          </cell>
          <cell r="AB66" t="str">
            <v>H3</v>
          </cell>
        </row>
        <row r="67">
          <cell r="X67" t="str">
            <v>G1</v>
          </cell>
          <cell r="Y67">
            <v>63.064451934245902</v>
          </cell>
          <cell r="Z67">
            <v>56.272055093671284</v>
          </cell>
          <cell r="AA67">
            <v>64.105385940423417</v>
          </cell>
          <cell r="AB67">
            <v>67.748861645345372</v>
          </cell>
        </row>
        <row r="68">
          <cell r="X68" t="str">
            <v>S</v>
          </cell>
          <cell r="Y68">
            <v>16.947857798589087</v>
          </cell>
          <cell r="Z68">
            <v>19.122818502610613</v>
          </cell>
          <cell r="AA68">
            <v>15.272100068652909</v>
          </cell>
          <cell r="AB68">
            <v>13.405565242870425</v>
          </cell>
        </row>
        <row r="69">
          <cell r="X69" t="str">
            <v>G2/M</v>
          </cell>
          <cell r="Y69">
            <v>19.987690267165025</v>
          </cell>
          <cell r="Z69">
            <v>24.60512640371811</v>
          </cell>
          <cell r="AA69">
            <v>20.622513990923668</v>
          </cell>
          <cell r="AB69">
            <v>18.845573111784201</v>
          </cell>
        </row>
        <row r="77">
          <cell r="Y77">
            <v>2.9815687521691427</v>
          </cell>
          <cell r="Z77">
            <v>2.8874397090558932</v>
          </cell>
          <cell r="AA77">
            <v>4.6605320961591232</v>
          </cell>
          <cell r="AB77">
            <v>1.687153863783788</v>
          </cell>
        </row>
        <row r="78">
          <cell r="Y78">
            <v>2.1174282292503679</v>
          </cell>
          <cell r="Z78">
            <v>0.59146721167510385</v>
          </cell>
          <cell r="AA78">
            <v>1.9472563548302575</v>
          </cell>
          <cell r="AB78">
            <v>1.2589397108515221</v>
          </cell>
        </row>
        <row r="82">
          <cell r="Y82">
            <v>1.0990478502134389</v>
          </cell>
          <cell r="Z82">
            <v>2.2959724973807898</v>
          </cell>
          <cell r="AA82">
            <v>2.7132757413288426</v>
          </cell>
          <cell r="AB82">
            <v>1.5504123582885176</v>
          </cell>
        </row>
        <row r="86">
          <cell r="X86" t="str">
            <v>d0</v>
          </cell>
          <cell r="Y86" t="str">
            <v>d1</v>
          </cell>
          <cell r="Z86" t="str">
            <v>d2</v>
          </cell>
          <cell r="AA86" t="str">
            <v>d3</v>
          </cell>
        </row>
        <row r="87">
          <cell r="W87" t="str">
            <v>C</v>
          </cell>
          <cell r="X87">
            <v>34.519490403082301</v>
          </cell>
          <cell r="Y87">
            <v>17.074335173866189</v>
          </cell>
          <cell r="Z87">
            <v>54.636294584738899</v>
          </cell>
          <cell r="AA87">
            <v>63.064451934245902</v>
          </cell>
        </row>
        <row r="88">
          <cell r="W88" t="str">
            <v>H1</v>
          </cell>
          <cell r="X88">
            <v>31.256332817996707</v>
          </cell>
          <cell r="Y88">
            <v>29.190809257867038</v>
          </cell>
          <cell r="Z88">
            <v>18.06391447437472</v>
          </cell>
          <cell r="AA88">
            <v>56.272055093671284</v>
          </cell>
        </row>
        <row r="89">
          <cell r="W89" t="str">
            <v>H2</v>
          </cell>
          <cell r="X89">
            <v>35.381839201400226</v>
          </cell>
          <cell r="Y89">
            <v>22.440079116728828</v>
          </cell>
          <cell r="Z89">
            <v>26.973185751913586</v>
          </cell>
          <cell r="AA89">
            <v>64.105385940423417</v>
          </cell>
        </row>
        <row r="90">
          <cell r="W90" t="str">
            <v>H3</v>
          </cell>
          <cell r="X90">
            <v>31.751975392338927</v>
          </cell>
          <cell r="Y90">
            <v>13.91347282448988</v>
          </cell>
          <cell r="Z90">
            <v>26.899998332167584</v>
          </cell>
          <cell r="AA90">
            <v>67.748861645345372</v>
          </cell>
        </row>
        <row r="93">
          <cell r="X93">
            <v>2.3042145722013507</v>
          </cell>
          <cell r="Y93">
            <v>0.94381845317958513</v>
          </cell>
          <cell r="Z93">
            <v>3.1110091046915982</v>
          </cell>
          <cell r="AA93">
            <v>2.9815687521691427</v>
          </cell>
        </row>
        <row r="94">
          <cell r="X94">
            <v>4.2011469964259227</v>
          </cell>
          <cell r="Y94">
            <v>0.44080925786703595</v>
          </cell>
          <cell r="Z94">
            <v>3.0985753278004182</v>
          </cell>
          <cell r="AA94">
            <v>2.8874397090558932</v>
          </cell>
        </row>
        <row r="95">
          <cell r="X95">
            <v>2.5847282361999535</v>
          </cell>
          <cell r="Y95">
            <v>3.4426584595571263</v>
          </cell>
          <cell r="Z95">
            <v>0.74224129773450176</v>
          </cell>
          <cell r="AA95">
            <v>4.6605320961591232</v>
          </cell>
        </row>
        <row r="96">
          <cell r="X96">
            <v>1.4321320503023713</v>
          </cell>
          <cell r="Y96">
            <v>0.66268538015404921</v>
          </cell>
          <cell r="Z96">
            <v>2.1583845304712219</v>
          </cell>
          <cell r="AA96">
            <v>1.687153863783788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 6C"/>
      <sheetName val="Figure 6Cmod"/>
      <sheetName val="Figure 6Cmod2"/>
      <sheetName val="Figure 6E"/>
      <sheetName val="Figure 6Emod"/>
      <sheetName val="Figure 6F"/>
      <sheetName val="Figure 6H"/>
      <sheetName val="Figure 6 I"/>
      <sheetName val="Figure 6J"/>
      <sheetName val="Figure 6 K"/>
    </sheetNames>
    <sheetDataSet>
      <sheetData sheetId="0">
        <row r="11"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</row>
        <row r="39">
          <cell r="E39">
            <v>0.70750000000000002</v>
          </cell>
          <cell r="F39">
            <v>0.79749999999999999</v>
          </cell>
          <cell r="G39">
            <v>0.86125000000000007</v>
          </cell>
          <cell r="H39">
            <v>0.95125000000000004</v>
          </cell>
          <cell r="I39">
            <v>1.0575000000000001</v>
          </cell>
          <cell r="J39">
            <v>1.1575000000000002</v>
          </cell>
          <cell r="K39">
            <v>1.3149999999999999</v>
          </cell>
        </row>
        <row r="40">
          <cell r="E40">
            <v>0.38666666666666671</v>
          </cell>
          <cell r="F40">
            <v>0.42666666666666669</v>
          </cell>
          <cell r="G40">
            <v>0.39666666666666667</v>
          </cell>
          <cell r="H40">
            <v>0.38333333333333336</v>
          </cell>
          <cell r="I40">
            <v>0.32</v>
          </cell>
          <cell r="J40">
            <v>0.27666666666666667</v>
          </cell>
          <cell r="K40">
            <v>0.21999999999999997</v>
          </cell>
        </row>
        <row r="41">
          <cell r="E41">
            <v>0.38666666666666666</v>
          </cell>
          <cell r="F41">
            <v>0.39500000000000002</v>
          </cell>
          <cell r="G41">
            <v>0.41833333333333339</v>
          </cell>
          <cell r="H41">
            <v>0.34500000000000003</v>
          </cell>
          <cell r="I41">
            <v>0.29499999999999998</v>
          </cell>
          <cell r="J41">
            <v>0.19333333333333333</v>
          </cell>
          <cell r="K41">
            <v>0.14333333333333334</v>
          </cell>
        </row>
        <row r="42">
          <cell r="E42">
            <v>0.38999999999999996</v>
          </cell>
          <cell r="F42">
            <v>0.4366666666666667</v>
          </cell>
          <cell r="G42">
            <v>0.41333333333333333</v>
          </cell>
          <cell r="H42">
            <v>0.34666666666666668</v>
          </cell>
          <cell r="I42">
            <v>0.33333333333333331</v>
          </cell>
          <cell r="J42">
            <v>0.19999999999999998</v>
          </cell>
          <cell r="K42">
            <v>0.16</v>
          </cell>
        </row>
        <row r="49">
          <cell r="E49">
            <v>8.9733164528654208E-2</v>
          </cell>
          <cell r="F49">
            <v>9.7515043318810016E-2</v>
          </cell>
          <cell r="G49">
            <v>0.12367563731514028</v>
          </cell>
          <cell r="H49">
            <v>0.14810968770420366</v>
          </cell>
          <cell r="I49">
            <v>0.16126730250470125</v>
          </cell>
          <cell r="J49">
            <v>0.16352931460351014</v>
          </cell>
          <cell r="K49">
            <v>0.20732504303481475</v>
          </cell>
        </row>
        <row r="50">
          <cell r="E50">
            <v>6.6666666666666723E-3</v>
          </cell>
          <cell r="F50">
            <v>4.1766546953805474E-2</v>
          </cell>
          <cell r="G50">
            <v>3.6666666666666667E-2</v>
          </cell>
          <cell r="H50">
            <v>4.33333333333333E-2</v>
          </cell>
          <cell r="I50">
            <v>3.0550504633038916E-2</v>
          </cell>
          <cell r="J50">
            <v>3.7118429085533491E-2</v>
          </cell>
          <cell r="K50">
            <v>2.309401076758516E-2</v>
          </cell>
        </row>
        <row r="51">
          <cell r="E51">
            <v>1.5776212754932309E-2</v>
          </cell>
          <cell r="F51">
            <v>4.498147766951785E-2</v>
          </cell>
          <cell r="G51">
            <v>5.3965009239526726E-2</v>
          </cell>
          <cell r="H51">
            <v>4.5129443456203289E-2</v>
          </cell>
          <cell r="I51">
            <v>3.7549966711037178E-2</v>
          </cell>
          <cell r="J51">
            <v>2.6997942308422174E-2</v>
          </cell>
          <cell r="K51">
            <v>2.3285665595430629E-2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workbookViewId="0">
      <selection activeCell="H30" sqref="H30"/>
    </sheetView>
  </sheetViews>
  <sheetFormatPr baseColWidth="10" defaultRowHeight="16" x14ac:dyDescent="0.2"/>
  <cols>
    <col min="3" max="3" width="12.5" customWidth="1"/>
  </cols>
  <sheetData>
    <row r="2" spans="1:10" ht="18" x14ac:dyDescent="0.2">
      <c r="A2" s="53" t="s">
        <v>589</v>
      </c>
      <c r="B2" s="8"/>
    </row>
    <row r="4" spans="1:10" ht="18" x14ac:dyDescent="0.2">
      <c r="A4" s="53" t="s">
        <v>583</v>
      </c>
      <c r="B4" s="53"/>
      <c r="C4" s="53"/>
    </row>
    <row r="7" spans="1:10" x14ac:dyDescent="0.2">
      <c r="B7" s="69" t="s">
        <v>592</v>
      </c>
      <c r="C7" s="69" t="s">
        <v>334</v>
      </c>
      <c r="D7" s="69" t="s">
        <v>584</v>
      </c>
      <c r="E7" s="69" t="s">
        <v>585</v>
      </c>
      <c r="G7" s="69" t="s">
        <v>593</v>
      </c>
      <c r="H7" s="69" t="s">
        <v>334</v>
      </c>
      <c r="I7" s="69" t="s">
        <v>584</v>
      </c>
      <c r="J7" s="69" t="s">
        <v>585</v>
      </c>
    </row>
    <row r="8" spans="1:10" x14ac:dyDescent="0.2">
      <c r="B8" s="17">
        <v>3682</v>
      </c>
      <c r="C8" s="17">
        <v>93.9</v>
      </c>
      <c r="D8" s="17">
        <v>6.12</v>
      </c>
      <c r="E8" s="17">
        <v>-2.0000000000005791E-2</v>
      </c>
      <c r="G8" s="17">
        <v>296</v>
      </c>
      <c r="H8" s="17">
        <v>81.2</v>
      </c>
      <c r="I8" s="17">
        <v>13.8</v>
      </c>
      <c r="J8" s="17">
        <v>4.9999999999999964</v>
      </c>
    </row>
    <row r="9" spans="1:10" x14ac:dyDescent="0.2">
      <c r="B9" s="17">
        <v>3833</v>
      </c>
      <c r="C9" s="17">
        <v>87.5</v>
      </c>
      <c r="D9" s="17">
        <v>9.7799999999999994</v>
      </c>
      <c r="E9" s="17">
        <v>2.7200000000000006</v>
      </c>
      <c r="G9" s="17">
        <v>365</v>
      </c>
      <c r="H9" s="17">
        <v>78.900000000000006</v>
      </c>
      <c r="I9" s="17">
        <v>17.399999999999999</v>
      </c>
      <c r="J9" s="17">
        <v>3.6999999999999957</v>
      </c>
    </row>
    <row r="10" spans="1:10" x14ac:dyDescent="0.2">
      <c r="B10" s="17">
        <v>1827</v>
      </c>
      <c r="C10" s="17">
        <v>89.949999999999989</v>
      </c>
      <c r="D10" s="17">
        <v>9.0650000000000013</v>
      </c>
      <c r="E10" s="17">
        <v>0.98500000000001009</v>
      </c>
      <c r="G10" s="17">
        <v>1316</v>
      </c>
      <c r="H10" s="17">
        <v>80.800000000000011</v>
      </c>
      <c r="I10" s="17">
        <v>15.2</v>
      </c>
      <c r="J10" s="17">
        <v>3.9999999999999893</v>
      </c>
    </row>
    <row r="11" spans="1:10" x14ac:dyDescent="0.2">
      <c r="B11" s="17">
        <v>2363</v>
      </c>
      <c r="C11" s="17">
        <v>89.2</v>
      </c>
      <c r="D11" s="17">
        <v>9.1800000000000015</v>
      </c>
      <c r="E11" s="17">
        <v>1.6199999999999957</v>
      </c>
      <c r="G11" s="17">
        <v>2467</v>
      </c>
      <c r="H11" s="17">
        <v>85.75</v>
      </c>
      <c r="I11" s="17">
        <v>12.05</v>
      </c>
      <c r="J11" s="17">
        <v>2.1999999999999993</v>
      </c>
    </row>
    <row r="13" spans="1:10" x14ac:dyDescent="0.2">
      <c r="B13" s="17" t="s">
        <v>51</v>
      </c>
      <c r="C13" s="17">
        <f>AVERAGE(C8:C11)</f>
        <v>90.137500000000003</v>
      </c>
      <c r="D13" s="17">
        <f t="shared" ref="D13:E13" si="0">AVERAGE(D8:D11)</f>
        <v>8.5362500000000008</v>
      </c>
      <c r="E13" s="17">
        <f t="shared" si="0"/>
        <v>1.3262500000000002</v>
      </c>
      <c r="F13" s="68"/>
      <c r="G13" s="17" t="s">
        <v>51</v>
      </c>
      <c r="H13" s="17">
        <f>AVERAGE(H8:H11)</f>
        <v>81.662500000000009</v>
      </c>
      <c r="I13" s="17">
        <f t="shared" ref="I13:J13" si="1">AVERAGE(I8:I11)</f>
        <v>14.612500000000001</v>
      </c>
      <c r="J13" s="17">
        <f t="shared" si="1"/>
        <v>3.7249999999999952</v>
      </c>
    </row>
    <row r="14" spans="1:10" x14ac:dyDescent="0.2">
      <c r="B14" s="17" t="s">
        <v>13</v>
      </c>
      <c r="C14" s="17">
        <f>STDEV(C8:C11)</f>
        <v>2.7096663386230193</v>
      </c>
      <c r="D14" s="17">
        <f t="shared" ref="D14:E14" si="2">STDEV(D8:D11)</f>
        <v>1.6410533964499763</v>
      </c>
      <c r="E14" s="17">
        <f t="shared" si="2"/>
        <v>1.1485742974081692</v>
      </c>
      <c r="F14" s="68"/>
      <c r="G14" s="17" t="s">
        <v>13</v>
      </c>
      <c r="H14" s="17">
        <f>STDEV(H8:H11)</f>
        <v>2.9038408473376514</v>
      </c>
      <c r="I14" s="17">
        <f t="shared" ref="I14:J14" si="3">STDEV(I8:I11)</f>
        <v>2.2614062733912457</v>
      </c>
      <c r="J14" s="17">
        <f t="shared" si="3"/>
        <v>1.1586630226256451</v>
      </c>
    </row>
    <row r="15" spans="1:10" x14ac:dyDescent="0.2">
      <c r="B15" s="17" t="s">
        <v>14</v>
      </c>
      <c r="C15" s="45">
        <f>C14/(4^0.5)</f>
        <v>1.3548331693115097</v>
      </c>
      <c r="D15" s="45">
        <f t="shared" ref="D15:E15" si="4">D14/(4^0.5)</f>
        <v>0.82052669822498814</v>
      </c>
      <c r="E15" s="45">
        <f t="shared" si="4"/>
        <v>0.57428714870408459</v>
      </c>
      <c r="F15" s="97"/>
      <c r="G15" s="17" t="s">
        <v>14</v>
      </c>
      <c r="H15" s="45">
        <f>H14/(4^0.5)</f>
        <v>1.4519204236688257</v>
      </c>
      <c r="I15" s="45">
        <f t="shared" ref="I15:J15" si="5">I14/(4^0.5)</f>
        <v>1.1307031366956228</v>
      </c>
      <c r="J15" s="45">
        <f t="shared" si="5"/>
        <v>0.57933151131282257</v>
      </c>
    </row>
    <row r="16" spans="1:10" x14ac:dyDescent="0.2">
      <c r="B16" s="68"/>
      <c r="C16" s="97"/>
      <c r="D16" s="97"/>
      <c r="E16" s="97"/>
      <c r="F16" s="97"/>
    </row>
    <row r="18" spans="1:6" ht="18" x14ac:dyDescent="0.2">
      <c r="B18" s="19" t="s">
        <v>52</v>
      </c>
      <c r="C18" s="20"/>
      <c r="D18" s="20"/>
      <c r="E18" s="20"/>
      <c r="F18" s="20"/>
    </row>
    <row r="21" spans="1:6" x14ac:dyDescent="0.2">
      <c r="A21" s="52" t="s">
        <v>334</v>
      </c>
      <c r="B21" s="3" t="s">
        <v>416</v>
      </c>
      <c r="C21" s="1"/>
      <c r="D21" s="9"/>
      <c r="E21" s="1"/>
    </row>
    <row r="22" spans="1:6" x14ac:dyDescent="0.2">
      <c r="A22" s="9"/>
      <c r="B22" s="2" t="s">
        <v>36</v>
      </c>
      <c r="C22" s="9"/>
      <c r="D22" s="9"/>
      <c r="E22" s="1">
        <v>5.3E-3</v>
      </c>
    </row>
    <row r="23" spans="1:6" x14ac:dyDescent="0.2">
      <c r="A23" s="9"/>
      <c r="B23" s="2" t="s">
        <v>37</v>
      </c>
      <c r="C23" s="9"/>
      <c r="D23" s="9"/>
      <c r="E23" s="46" t="s">
        <v>11</v>
      </c>
    </row>
    <row r="24" spans="1:6" x14ac:dyDescent="0.2">
      <c r="A24" s="9"/>
      <c r="B24" s="2" t="s">
        <v>303</v>
      </c>
      <c r="C24" s="9"/>
      <c r="D24" s="9"/>
      <c r="E24" s="46" t="s">
        <v>41</v>
      </c>
    </row>
    <row r="25" spans="1:6" x14ac:dyDescent="0.2">
      <c r="A25" s="9"/>
      <c r="B25" s="2" t="s">
        <v>304</v>
      </c>
      <c r="C25" s="9"/>
      <c r="D25" s="9"/>
      <c r="E25" s="46" t="s">
        <v>305</v>
      </c>
    </row>
    <row r="26" spans="1:6" x14ac:dyDescent="0.2">
      <c r="A26" s="9"/>
      <c r="B26" s="2" t="s">
        <v>417</v>
      </c>
      <c r="C26" s="9"/>
      <c r="D26" s="9"/>
      <c r="E26" s="46" t="s">
        <v>586</v>
      </c>
    </row>
    <row r="29" spans="1:6" x14ac:dyDescent="0.2">
      <c r="A29" s="52" t="s">
        <v>584</v>
      </c>
      <c r="B29" s="3" t="s">
        <v>416</v>
      </c>
      <c r="C29" s="1"/>
      <c r="D29" s="9"/>
      <c r="E29" s="1"/>
    </row>
    <row r="30" spans="1:6" x14ac:dyDescent="0.2">
      <c r="A30" s="9"/>
      <c r="B30" s="2" t="s">
        <v>36</v>
      </c>
      <c r="D30" s="9"/>
      <c r="E30" s="48">
        <v>4.7999999999999996E-3</v>
      </c>
    </row>
    <row r="31" spans="1:6" x14ac:dyDescent="0.2">
      <c r="A31" s="9"/>
      <c r="B31" s="2" t="s">
        <v>37</v>
      </c>
      <c r="D31" s="9"/>
      <c r="E31" s="48" t="s">
        <v>11</v>
      </c>
    </row>
    <row r="32" spans="1:6" x14ac:dyDescent="0.2">
      <c r="A32" s="9"/>
      <c r="B32" s="2" t="s">
        <v>303</v>
      </c>
      <c r="D32" s="9"/>
      <c r="E32" s="48" t="s">
        <v>41</v>
      </c>
    </row>
    <row r="33" spans="1:5" x14ac:dyDescent="0.2">
      <c r="A33" s="9"/>
      <c r="B33" s="2" t="s">
        <v>304</v>
      </c>
      <c r="D33" s="9"/>
      <c r="E33" s="48" t="s">
        <v>305</v>
      </c>
    </row>
    <row r="34" spans="1:5" x14ac:dyDescent="0.2">
      <c r="A34" s="9"/>
      <c r="B34" s="2" t="s">
        <v>417</v>
      </c>
      <c r="D34" s="9"/>
      <c r="E34" s="48" t="s">
        <v>587</v>
      </c>
    </row>
    <row r="37" spans="1:5" x14ac:dyDescent="0.2">
      <c r="A37" s="52" t="s">
        <v>585</v>
      </c>
      <c r="B37" s="3" t="s">
        <v>416</v>
      </c>
      <c r="C37" s="1"/>
      <c r="D37" s="9"/>
      <c r="E37" s="1"/>
    </row>
    <row r="38" spans="1:5" x14ac:dyDescent="0.2">
      <c r="A38" s="9"/>
      <c r="B38" s="2" t="s">
        <v>36</v>
      </c>
      <c r="C38" s="9"/>
      <c r="D38" s="9"/>
      <c r="E38" s="9">
        <v>2.5899999999999999E-2</v>
      </c>
    </row>
    <row r="39" spans="1:5" x14ac:dyDescent="0.2">
      <c r="A39" s="9"/>
      <c r="B39" s="2" t="s">
        <v>37</v>
      </c>
      <c r="C39" s="9"/>
      <c r="D39" s="9"/>
      <c r="E39" s="48" t="s">
        <v>12</v>
      </c>
    </row>
    <row r="40" spans="1:5" x14ac:dyDescent="0.2">
      <c r="A40" s="9"/>
      <c r="B40" s="2" t="s">
        <v>303</v>
      </c>
      <c r="C40" s="9"/>
      <c r="D40" s="9"/>
      <c r="E40" s="48" t="s">
        <v>41</v>
      </c>
    </row>
    <row r="41" spans="1:5" x14ac:dyDescent="0.2">
      <c r="A41" s="9"/>
      <c r="B41" s="2" t="s">
        <v>304</v>
      </c>
      <c r="C41" s="9"/>
      <c r="D41" s="9"/>
      <c r="E41" s="48" t="s">
        <v>305</v>
      </c>
    </row>
    <row r="42" spans="1:5" x14ac:dyDescent="0.2">
      <c r="A42" s="9"/>
      <c r="B42" s="2" t="s">
        <v>417</v>
      </c>
      <c r="C42" s="9"/>
      <c r="D42" s="9"/>
      <c r="E42" s="48" t="s">
        <v>588</v>
      </c>
    </row>
  </sheetData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33"/>
  <sheetViews>
    <sheetView workbookViewId="0">
      <selection activeCell="B22" sqref="B22"/>
    </sheetView>
  </sheetViews>
  <sheetFormatPr baseColWidth="10" defaultRowHeight="16" x14ac:dyDescent="0.2"/>
  <cols>
    <col min="2" max="2" width="15.6640625" customWidth="1"/>
    <col min="3" max="3" width="14.1640625" customWidth="1"/>
    <col min="4" max="4" width="19.83203125" customWidth="1"/>
    <col min="5" max="5" width="19.6640625" customWidth="1"/>
    <col min="6" max="6" width="19.1640625" customWidth="1"/>
  </cols>
  <sheetData>
    <row r="1" spans="1:6" x14ac:dyDescent="0.2">
      <c r="A1" s="9"/>
      <c r="B1" s="9"/>
      <c r="C1" s="9"/>
      <c r="D1" s="9"/>
      <c r="E1" s="9"/>
      <c r="F1" s="9"/>
    </row>
    <row r="2" spans="1:6" ht="18" x14ac:dyDescent="0.2">
      <c r="A2" s="53" t="s">
        <v>568</v>
      </c>
      <c r="B2" s="53"/>
      <c r="C2" s="9"/>
      <c r="D2" s="9"/>
      <c r="E2" s="9"/>
      <c r="F2" s="9"/>
    </row>
    <row r="3" spans="1:6" x14ac:dyDescent="0.2">
      <c r="A3" s="9"/>
      <c r="B3" s="9"/>
      <c r="C3" s="9"/>
      <c r="D3" s="9"/>
      <c r="E3" s="9"/>
      <c r="F3" s="9"/>
    </row>
    <row r="4" spans="1:6" ht="18" x14ac:dyDescent="0.2">
      <c r="A4" s="14" t="s">
        <v>569</v>
      </c>
      <c r="B4" s="14"/>
      <c r="C4" s="14"/>
      <c r="D4" s="49"/>
      <c r="E4" s="9"/>
      <c r="F4" s="9"/>
    </row>
    <row r="5" spans="1:6" x14ac:dyDescent="0.2">
      <c r="A5" s="9"/>
      <c r="B5" s="9"/>
      <c r="C5" s="9"/>
      <c r="D5" s="9"/>
      <c r="E5" s="9"/>
      <c r="F5" s="9"/>
    </row>
    <row r="6" spans="1:6" x14ac:dyDescent="0.2">
      <c r="A6" s="9"/>
      <c r="B6" s="9"/>
      <c r="C6" s="22" t="s">
        <v>591</v>
      </c>
      <c r="D6" s="22" t="s">
        <v>590</v>
      </c>
      <c r="E6" s="22" t="s">
        <v>590</v>
      </c>
      <c r="F6" s="22" t="s">
        <v>590</v>
      </c>
    </row>
    <row r="7" spans="1:6" x14ac:dyDescent="0.2">
      <c r="A7" s="9"/>
      <c r="B7" s="21"/>
      <c r="C7" s="18" t="s">
        <v>1</v>
      </c>
      <c r="D7" s="22" t="s">
        <v>2</v>
      </c>
      <c r="E7" s="22" t="s">
        <v>3</v>
      </c>
      <c r="F7" s="22" t="s">
        <v>4</v>
      </c>
    </row>
    <row r="8" spans="1:6" x14ac:dyDescent="0.2">
      <c r="A8" s="9"/>
      <c r="B8" s="11" t="s">
        <v>32</v>
      </c>
      <c r="C8" s="4">
        <v>0.95691107510935591</v>
      </c>
      <c r="D8" s="17">
        <v>1.870263276790407</v>
      </c>
      <c r="E8" s="17">
        <v>1.2747470096217048</v>
      </c>
      <c r="F8" s="17">
        <v>1.1845889733846662</v>
      </c>
    </row>
    <row r="9" spans="1:6" x14ac:dyDescent="0.2">
      <c r="A9" s="9"/>
      <c r="B9" s="11" t="s">
        <v>33</v>
      </c>
      <c r="C9" s="4">
        <v>0.88221490939073033</v>
      </c>
      <c r="D9" s="17">
        <v>0.68731089622505948</v>
      </c>
      <c r="E9" s="17">
        <v>1.1306407224994484</v>
      </c>
      <c r="F9" s="17">
        <v>1.1523804577846717</v>
      </c>
    </row>
    <row r="10" spans="1:6" x14ac:dyDescent="0.2">
      <c r="A10" s="9"/>
      <c r="B10" s="11" t="s">
        <v>34</v>
      </c>
      <c r="C10" s="4">
        <v>0.95691107510935591</v>
      </c>
      <c r="D10" s="17">
        <v>0.87213053855374811</v>
      </c>
      <c r="E10" s="17">
        <v>0.83230450298814918</v>
      </c>
      <c r="F10" s="17">
        <v>0.78787178428474602</v>
      </c>
    </row>
    <row r="11" spans="1:6" x14ac:dyDescent="0.2">
      <c r="A11" s="9"/>
      <c r="B11" s="11" t="s">
        <v>35</v>
      </c>
      <c r="C11" s="17">
        <v>1.0902257797282635</v>
      </c>
      <c r="D11" s="17"/>
      <c r="E11" s="17"/>
      <c r="F11" s="17"/>
    </row>
    <row r="12" spans="1:6" x14ac:dyDescent="0.2">
      <c r="A12" s="9"/>
      <c r="B12" s="11" t="s">
        <v>81</v>
      </c>
      <c r="C12" s="17">
        <v>0.95691107510935591</v>
      </c>
      <c r="D12" s="17"/>
      <c r="E12" s="17"/>
      <c r="F12" s="17"/>
    </row>
    <row r="13" spans="1:6" x14ac:dyDescent="0.2">
      <c r="A13" s="9"/>
      <c r="B13" s="11" t="s">
        <v>169</v>
      </c>
      <c r="C13" s="17">
        <v>1.1568260855529378</v>
      </c>
      <c r="D13" s="17"/>
      <c r="E13" s="17"/>
      <c r="F13" s="17"/>
    </row>
    <row r="14" spans="1:6" x14ac:dyDescent="0.2">
      <c r="A14" s="9"/>
    </row>
    <row r="15" spans="1:6" x14ac:dyDescent="0.2">
      <c r="B15" s="17" t="s">
        <v>51</v>
      </c>
      <c r="C15" s="17">
        <f>AVERAGE(C8:C13)</f>
        <v>0.99999999999999989</v>
      </c>
      <c r="D15" s="17">
        <f>AVERAGE(D8:D10)</f>
        <v>1.1432349038564049</v>
      </c>
      <c r="E15" s="17">
        <f>AVERAGE(E8:E10)</f>
        <v>1.079230745036434</v>
      </c>
      <c r="F15" s="17">
        <f>AVERAGE(F8:F10)</f>
        <v>1.0416137384846946</v>
      </c>
    </row>
    <row r="16" spans="1:6" x14ac:dyDescent="0.2">
      <c r="B16" s="17" t="s">
        <v>13</v>
      </c>
      <c r="C16" s="17">
        <f>STDEV(C8:C13)</f>
        <v>0.10215518229826526</v>
      </c>
      <c r="D16" s="17">
        <f>STDEV(D8:D10)</f>
        <v>0.63637038455283457</v>
      </c>
      <c r="E16" s="17">
        <f>STDEV(E8:E10)</f>
        <v>0.22565700134519825</v>
      </c>
      <c r="F16" s="17">
        <f>STDEV(F8:F10)</f>
        <v>0.22033629208597322</v>
      </c>
    </row>
    <row r="17" spans="2:7" x14ac:dyDescent="0.2">
      <c r="B17" s="17" t="s">
        <v>14</v>
      </c>
      <c r="C17" s="45">
        <f>C16/(6^0.5)</f>
        <v>4.1704678535291077E-2</v>
      </c>
      <c r="D17" s="45">
        <f>D16/(3^0.5)</f>
        <v>0.36740861282588472</v>
      </c>
      <c r="E17" s="45">
        <f>E16/(3^0.5)</f>
        <v>0.13028313047117396</v>
      </c>
      <c r="F17" s="45">
        <f>F16/(3^0.5)</f>
        <v>0.12721121754808065</v>
      </c>
    </row>
    <row r="18" spans="2:7" x14ac:dyDescent="0.2">
      <c r="B18" s="9"/>
      <c r="C18" s="9"/>
      <c r="D18" s="9"/>
      <c r="E18" s="9"/>
      <c r="F18" s="9"/>
    </row>
    <row r="19" spans="2:7" x14ac:dyDescent="0.2">
      <c r="B19" s="9"/>
      <c r="C19" s="9"/>
      <c r="D19" s="9"/>
      <c r="E19" s="9"/>
      <c r="F19" s="9"/>
    </row>
    <row r="20" spans="2:7" ht="18" x14ac:dyDescent="0.2">
      <c r="B20" s="19" t="s">
        <v>52</v>
      </c>
      <c r="C20" s="20"/>
      <c r="D20" s="20"/>
      <c r="E20" s="20"/>
      <c r="F20" s="20"/>
    </row>
    <row r="22" spans="2:7" x14ac:dyDescent="0.2">
      <c r="B22" s="15" t="s">
        <v>53</v>
      </c>
      <c r="C22" s="1"/>
      <c r="D22" s="9"/>
      <c r="E22" s="9"/>
      <c r="F22" s="1"/>
    </row>
    <row r="23" spans="2:7" x14ac:dyDescent="0.2">
      <c r="B23" s="2" t="s">
        <v>0</v>
      </c>
      <c r="C23" s="9"/>
      <c r="D23" s="9"/>
      <c r="E23" s="9"/>
      <c r="F23" s="1">
        <v>0.15110000000000001</v>
      </c>
    </row>
    <row r="24" spans="2:7" x14ac:dyDescent="0.2">
      <c r="B24" s="2" t="s">
        <v>36</v>
      </c>
      <c r="C24" s="9"/>
      <c r="D24" s="9"/>
      <c r="E24" s="9"/>
      <c r="F24" s="1">
        <v>0.92679999999999996</v>
      </c>
    </row>
    <row r="25" spans="2:7" x14ac:dyDescent="0.2">
      <c r="B25" s="2" t="s">
        <v>37</v>
      </c>
      <c r="C25" s="9"/>
      <c r="D25" s="9"/>
      <c r="E25" s="9"/>
      <c r="F25" s="46" t="s">
        <v>9</v>
      </c>
    </row>
    <row r="26" spans="2:7" x14ac:dyDescent="0.2">
      <c r="B26" s="2" t="s">
        <v>54</v>
      </c>
      <c r="C26" s="9"/>
      <c r="D26" s="9"/>
      <c r="E26" s="9"/>
      <c r="F26" s="46" t="s">
        <v>49</v>
      </c>
    </row>
    <row r="27" spans="2:7" x14ac:dyDescent="0.2">
      <c r="B27" s="2" t="s">
        <v>55</v>
      </c>
      <c r="C27" s="9"/>
      <c r="D27" s="9"/>
      <c r="E27" s="9"/>
      <c r="F27" s="1">
        <v>3.959E-2</v>
      </c>
    </row>
    <row r="29" spans="2:7" x14ac:dyDescent="0.2">
      <c r="B29" s="3" t="s">
        <v>44</v>
      </c>
      <c r="C29" s="52"/>
      <c r="D29" s="52"/>
      <c r="E29" s="52"/>
      <c r="F29" s="52"/>
      <c r="G29" s="76"/>
    </row>
    <row r="30" spans="2:7" x14ac:dyDescent="0.2">
      <c r="B30" s="76"/>
      <c r="C30" s="16" t="s">
        <v>45</v>
      </c>
      <c r="D30" s="16" t="s">
        <v>46</v>
      </c>
      <c r="E30" s="16" t="s">
        <v>47</v>
      </c>
      <c r="F30" s="16" t="s">
        <v>48</v>
      </c>
      <c r="G30" s="16" t="s">
        <v>5</v>
      </c>
    </row>
    <row r="31" spans="2:7" x14ac:dyDescent="0.2">
      <c r="B31" s="2" t="s">
        <v>6</v>
      </c>
      <c r="C31" s="1">
        <v>-0.14319999999999999</v>
      </c>
      <c r="D31" s="1" t="s">
        <v>565</v>
      </c>
      <c r="E31" s="1" t="s">
        <v>49</v>
      </c>
      <c r="F31" s="1" t="s">
        <v>9</v>
      </c>
      <c r="G31" s="1">
        <v>0.87050000000000005</v>
      </c>
    </row>
    <row r="32" spans="2:7" x14ac:dyDescent="0.2">
      <c r="B32" s="2" t="s">
        <v>7</v>
      </c>
      <c r="C32" s="1">
        <v>-7.9229999999999995E-2</v>
      </c>
      <c r="D32" s="1" t="s">
        <v>566</v>
      </c>
      <c r="E32" s="1" t="s">
        <v>49</v>
      </c>
      <c r="F32" s="1" t="s">
        <v>9</v>
      </c>
      <c r="G32" s="1">
        <v>0.97319999999999995</v>
      </c>
    </row>
    <row r="33" spans="2:7" x14ac:dyDescent="0.2">
      <c r="B33" s="2" t="s">
        <v>8</v>
      </c>
      <c r="C33" s="1">
        <v>-4.1610000000000001E-2</v>
      </c>
      <c r="D33" s="1" t="s">
        <v>567</v>
      </c>
      <c r="E33" s="1" t="s">
        <v>49</v>
      </c>
      <c r="F33" s="1" t="s">
        <v>9</v>
      </c>
      <c r="G33" s="1">
        <v>0.99580000000000002</v>
      </c>
    </row>
  </sheetData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K103"/>
  <sheetViews>
    <sheetView workbookViewId="0">
      <selection activeCell="L49" sqref="L49"/>
    </sheetView>
  </sheetViews>
  <sheetFormatPr baseColWidth="10" defaultColWidth="10.83203125" defaultRowHeight="14" x14ac:dyDescent="0.15"/>
  <cols>
    <col min="1" max="1" width="13.83203125" style="9" customWidth="1"/>
    <col min="2" max="2" width="18.33203125" style="9" customWidth="1"/>
    <col min="3" max="3" width="10.83203125" style="9"/>
    <col min="4" max="4" width="15.83203125" style="9" customWidth="1"/>
    <col min="5" max="6" width="12.33203125" style="9" customWidth="1"/>
    <col min="7" max="7" width="12" style="9" customWidth="1"/>
    <col min="8" max="8" width="11.6640625" style="9" customWidth="1"/>
    <col min="9" max="9" width="11.5" style="9" customWidth="1"/>
    <col min="10" max="16384" width="10.83203125" style="9"/>
  </cols>
  <sheetData>
    <row r="2" spans="1:7" ht="18" x14ac:dyDescent="0.2">
      <c r="A2" s="53" t="s">
        <v>546</v>
      </c>
      <c r="B2" s="121"/>
    </row>
    <row r="4" spans="1:7" ht="18" x14ac:dyDescent="0.2">
      <c r="A4" s="14" t="s">
        <v>146</v>
      </c>
    </row>
    <row r="7" spans="1:7" x14ac:dyDescent="0.15">
      <c r="B7" s="21"/>
      <c r="C7" s="18" t="s">
        <v>1</v>
      </c>
      <c r="D7" s="22" t="s">
        <v>918</v>
      </c>
      <c r="E7" s="22" t="s">
        <v>919</v>
      </c>
      <c r="F7" s="22" t="s">
        <v>920</v>
      </c>
    </row>
    <row r="8" spans="1:7" x14ac:dyDescent="0.15">
      <c r="B8" s="11" t="s">
        <v>147</v>
      </c>
      <c r="C8" s="4">
        <v>62.337662337662337</v>
      </c>
      <c r="D8" s="4">
        <v>81.4727085478888</v>
      </c>
      <c r="E8" s="4">
        <v>77.995989490703295</v>
      </c>
      <c r="F8" s="4">
        <v>66.362068965517196</v>
      </c>
      <c r="G8" s="1"/>
    </row>
    <row r="9" spans="1:7" x14ac:dyDescent="0.15">
      <c r="B9" s="11" t="s">
        <v>148</v>
      </c>
      <c r="C9" s="4">
        <v>61.77553381718733</v>
      </c>
      <c r="D9" s="4">
        <v>84.713441807441185</v>
      </c>
      <c r="E9" s="4">
        <v>47.994619832006101</v>
      </c>
      <c r="F9" s="4">
        <v>55.978540772532199</v>
      </c>
      <c r="G9" s="1"/>
    </row>
    <row r="10" spans="1:7" x14ac:dyDescent="0.15">
      <c r="B10" s="11" t="s">
        <v>149</v>
      </c>
      <c r="C10" s="4">
        <v>44.286719849835755</v>
      </c>
      <c r="D10" s="4">
        <v>60.217057662793252</v>
      </c>
      <c r="E10" s="4">
        <v>45.992659574468099</v>
      </c>
      <c r="F10" s="4">
        <v>39.902639915522698</v>
      </c>
      <c r="G10" s="1"/>
    </row>
    <row r="12" spans="1:7" x14ac:dyDescent="0.15">
      <c r="B12" s="17" t="s">
        <v>51</v>
      </c>
      <c r="C12" s="17">
        <f>AVERAGE(C8:C10)</f>
        <v>56.133305334895141</v>
      </c>
      <c r="D12" s="17">
        <f>AVERAGE(D8:D10)</f>
        <v>75.467736006041079</v>
      </c>
      <c r="E12" s="17">
        <f t="shared" ref="E12:F12" si="0">AVERAGE(E8:E10)</f>
        <v>57.32775629905916</v>
      </c>
      <c r="F12" s="17">
        <f t="shared" si="0"/>
        <v>54.081083217857362</v>
      </c>
    </row>
    <row r="13" spans="1:7" x14ac:dyDescent="0.15">
      <c r="B13" s="17" t="s">
        <v>13</v>
      </c>
      <c r="C13" s="17">
        <f>STDEV(C8:C10)</f>
        <v>10.263293226810664</v>
      </c>
      <c r="D13" s="17">
        <f t="shared" ref="D13:F13" si="1">STDEV(D8:D10)</f>
        <v>13.306501435832041</v>
      </c>
      <c r="E13" s="17">
        <f t="shared" si="1"/>
        <v>17.927182117285639</v>
      </c>
      <c r="F13" s="17">
        <f t="shared" si="1"/>
        <v>13.331376721545579</v>
      </c>
    </row>
    <row r="14" spans="1:7" x14ac:dyDescent="0.15">
      <c r="B14" s="17" t="s">
        <v>14</v>
      </c>
      <c r="C14" s="17">
        <f>C13/SQRT(3)</f>
        <v>5.9255151072711998</v>
      </c>
      <c r="D14" s="17">
        <f>D13/SQRT(3)</f>
        <v>7.6825121859497711</v>
      </c>
      <c r="E14" s="17">
        <f>E13/SQRT(3)</f>
        <v>10.350263421226309</v>
      </c>
      <c r="F14" s="17">
        <f>F13/SQRT(3)</f>
        <v>7.6968739388526517</v>
      </c>
    </row>
    <row r="17" spans="2:7" ht="18" x14ac:dyDescent="0.2">
      <c r="B17" s="19" t="s">
        <v>52</v>
      </c>
      <c r="C17" s="20"/>
      <c r="D17" s="20"/>
      <c r="E17" s="20"/>
      <c r="F17" s="20"/>
    </row>
    <row r="19" spans="2:7" ht="16" x14ac:dyDescent="0.2">
      <c r="B19" s="15" t="s">
        <v>53</v>
      </c>
    </row>
    <row r="20" spans="2:7" x14ac:dyDescent="0.15">
      <c r="B20" s="2" t="s">
        <v>0</v>
      </c>
      <c r="E20" s="1">
        <v>1.5049999999999999</v>
      </c>
    </row>
    <row r="21" spans="2:7" x14ac:dyDescent="0.15">
      <c r="B21" s="2" t="s">
        <v>36</v>
      </c>
      <c r="E21" s="1">
        <v>0.28560000000000002</v>
      </c>
    </row>
    <row r="22" spans="2:7" x14ac:dyDescent="0.15">
      <c r="B22" s="2" t="s">
        <v>37</v>
      </c>
      <c r="E22" s="46" t="s">
        <v>9</v>
      </c>
      <c r="F22" s="16"/>
    </row>
    <row r="23" spans="2:7" x14ac:dyDescent="0.15">
      <c r="B23" s="2" t="s">
        <v>54</v>
      </c>
      <c r="E23" s="46" t="s">
        <v>49</v>
      </c>
      <c r="F23" s="1"/>
    </row>
    <row r="24" spans="2:7" x14ac:dyDescent="0.15">
      <c r="B24" s="2" t="s">
        <v>55</v>
      </c>
      <c r="E24" s="1">
        <v>0.36080000000000001</v>
      </c>
      <c r="F24" s="1"/>
    </row>
    <row r="26" spans="2:7" ht="16" x14ac:dyDescent="0.2">
      <c r="B26" s="15" t="s">
        <v>44</v>
      </c>
      <c r="D26" s="2"/>
      <c r="E26" s="1"/>
      <c r="F26" s="1"/>
    </row>
    <row r="27" spans="2:7" x14ac:dyDescent="0.15">
      <c r="C27" s="16" t="s">
        <v>45</v>
      </c>
      <c r="D27" s="16" t="s">
        <v>46</v>
      </c>
      <c r="E27" s="16" t="s">
        <v>47</v>
      </c>
      <c r="F27" s="16" t="s">
        <v>48</v>
      </c>
      <c r="G27" s="16" t="s">
        <v>5</v>
      </c>
    </row>
    <row r="28" spans="2:7" x14ac:dyDescent="0.15">
      <c r="B28" s="2" t="s">
        <v>6</v>
      </c>
      <c r="C28" s="1">
        <v>-19.329999999999998</v>
      </c>
      <c r="D28" s="1" t="s">
        <v>533</v>
      </c>
      <c r="E28" s="1" t="s">
        <v>49</v>
      </c>
      <c r="F28" s="1" t="s">
        <v>9</v>
      </c>
      <c r="G28" s="1">
        <v>0.28060000000000002</v>
      </c>
    </row>
    <row r="29" spans="2:7" x14ac:dyDescent="0.15">
      <c r="B29" s="2" t="s">
        <v>7</v>
      </c>
      <c r="C29" s="1">
        <v>-1.194</v>
      </c>
      <c r="D29" s="1" t="s">
        <v>534</v>
      </c>
      <c r="E29" s="1" t="s">
        <v>49</v>
      </c>
      <c r="F29" s="1" t="s">
        <v>9</v>
      </c>
      <c r="G29" s="1">
        <v>0.99909999999999999</v>
      </c>
    </row>
    <row r="30" spans="2:7" x14ac:dyDescent="0.15">
      <c r="B30" s="2" t="s">
        <v>8</v>
      </c>
      <c r="C30" s="1">
        <v>2.052</v>
      </c>
      <c r="D30" s="1" t="s">
        <v>535</v>
      </c>
      <c r="E30" s="1" t="s">
        <v>49</v>
      </c>
      <c r="F30" s="1" t="s">
        <v>9</v>
      </c>
      <c r="G30" s="1">
        <v>0.99560000000000004</v>
      </c>
    </row>
    <row r="35" spans="1:10" ht="18" x14ac:dyDescent="0.2">
      <c r="A35" s="14" t="s">
        <v>15</v>
      </c>
    </row>
    <row r="38" spans="1:10" x14ac:dyDescent="0.15">
      <c r="B38" s="52"/>
      <c r="C38" s="22" t="s">
        <v>1</v>
      </c>
      <c r="D38" s="22" t="s">
        <v>2</v>
      </c>
      <c r="E38" s="22" t="s">
        <v>3</v>
      </c>
      <c r="F38" s="22" t="s">
        <v>4</v>
      </c>
      <c r="G38" s="22" t="s">
        <v>918</v>
      </c>
      <c r="H38" s="22" t="s">
        <v>919</v>
      </c>
      <c r="I38" s="22" t="s">
        <v>920</v>
      </c>
    </row>
    <row r="39" spans="1:10" x14ac:dyDescent="0.15">
      <c r="B39" s="11" t="s">
        <v>32</v>
      </c>
      <c r="C39" s="54">
        <v>1.0646611399999999</v>
      </c>
      <c r="D39" s="4">
        <v>1.066982E-2</v>
      </c>
      <c r="E39" s="4">
        <v>3.1812319999999998E-2</v>
      </c>
      <c r="F39" s="4">
        <v>0.16864123</v>
      </c>
      <c r="G39" s="17">
        <v>0.69432835999999998</v>
      </c>
      <c r="H39" s="4">
        <v>0.61799696000000004</v>
      </c>
      <c r="I39" s="17">
        <v>0.65157494999999999</v>
      </c>
    </row>
    <row r="40" spans="1:10" x14ac:dyDescent="0.15">
      <c r="B40" s="11" t="s">
        <v>33</v>
      </c>
      <c r="C40" s="54">
        <v>1.0090387300000001</v>
      </c>
      <c r="D40" s="4">
        <v>0.15665678999999999</v>
      </c>
      <c r="E40" s="4">
        <v>0.16034809999999999</v>
      </c>
      <c r="F40" s="4">
        <v>0.27478576999999998</v>
      </c>
      <c r="G40" s="17">
        <v>0.88061908</v>
      </c>
      <c r="H40" s="4">
        <v>0.54313431999999995</v>
      </c>
      <c r="I40" s="17">
        <v>0.68627832</v>
      </c>
      <c r="J40" s="2"/>
    </row>
    <row r="41" spans="1:10" x14ac:dyDescent="0.15">
      <c r="B41" s="11" t="s">
        <v>34</v>
      </c>
      <c r="C41" s="54">
        <v>0.92630013</v>
      </c>
      <c r="D41" s="4"/>
      <c r="E41" s="4"/>
      <c r="F41" s="4"/>
      <c r="G41" s="17"/>
      <c r="H41" s="4"/>
      <c r="I41" s="17"/>
      <c r="J41" s="2"/>
    </row>
    <row r="42" spans="1:10" x14ac:dyDescent="0.15">
      <c r="J42" s="2"/>
    </row>
    <row r="43" spans="1:10" x14ac:dyDescent="0.15">
      <c r="B43" s="17" t="s">
        <v>51</v>
      </c>
      <c r="C43" s="17">
        <f>AVERAGE(C39:C41)</f>
        <v>1</v>
      </c>
      <c r="D43" s="17">
        <f>AVERAGE(D39:D41)</f>
        <v>8.3663304999999993E-2</v>
      </c>
      <c r="E43" s="17">
        <f t="shared" ref="E43:I43" si="2">AVERAGE(E39:E41)</f>
        <v>9.6080209999999999E-2</v>
      </c>
      <c r="F43" s="17">
        <f t="shared" si="2"/>
        <v>0.22171350000000001</v>
      </c>
      <c r="G43" s="17">
        <f t="shared" si="2"/>
        <v>0.78747371999999993</v>
      </c>
      <c r="H43" s="17">
        <f t="shared" si="2"/>
        <v>0.58056563999999999</v>
      </c>
      <c r="I43" s="17">
        <f t="shared" si="2"/>
        <v>0.66892663500000005</v>
      </c>
    </row>
    <row r="44" spans="1:10" x14ac:dyDescent="0.15">
      <c r="B44" s="17" t="s">
        <v>13</v>
      </c>
      <c r="C44" s="17">
        <f>STDEV(C39:C41)</f>
        <v>6.9621952371825183E-2</v>
      </c>
      <c r="D44" s="17">
        <f>STDEV(D39:D41)</f>
        <v>0.10322837645187707</v>
      </c>
      <c r="E44" s="17">
        <f t="shared" ref="E44:H44" si="3">STDEV(E39:E41)</f>
        <v>9.0888521663102198E-2</v>
      </c>
      <c r="F44" s="17">
        <f t="shared" si="3"/>
        <v>7.5055524019926712E-2</v>
      </c>
      <c r="G44" s="17">
        <f t="shared" si="3"/>
        <v>0.1317274313841256</v>
      </c>
      <c r="H44" s="17">
        <f t="shared" si="3"/>
        <v>5.2935880401527344E-2</v>
      </c>
      <c r="I44" s="17">
        <f>STDEV(I39:I41)</f>
        <v>2.4538988257025805E-2</v>
      </c>
    </row>
    <row r="45" spans="1:10" x14ac:dyDescent="0.15">
      <c r="B45" s="17" t="s">
        <v>14</v>
      </c>
      <c r="C45" s="17">
        <f>C44/SQRT(3)</f>
        <v>4.0196252943380577E-2</v>
      </c>
      <c r="D45" s="17">
        <f>D44/SQRT(2)</f>
        <v>7.2993484999999997E-2</v>
      </c>
      <c r="E45" s="17">
        <f t="shared" ref="E45:H45" si="4">E44/SQRT(2)</f>
        <v>6.426788999999998E-2</v>
      </c>
      <c r="F45" s="17">
        <f t="shared" si="4"/>
        <v>5.3072269999999977E-2</v>
      </c>
      <c r="G45" s="17">
        <f t="shared" si="4"/>
        <v>9.3145360000000843E-2</v>
      </c>
      <c r="H45" s="17">
        <f t="shared" si="4"/>
        <v>3.7431320000000046E-2</v>
      </c>
      <c r="I45" s="17">
        <f>I44/SQRT(2)</f>
        <v>1.7351685000000002E-2</v>
      </c>
    </row>
    <row r="48" spans="1:10" ht="18" x14ac:dyDescent="0.2">
      <c r="B48" s="19" t="s">
        <v>52</v>
      </c>
      <c r="C48" s="20"/>
      <c r="D48" s="20"/>
      <c r="E48" s="20"/>
      <c r="F48" s="20"/>
      <c r="G48" s="20"/>
      <c r="H48" s="20"/>
      <c r="I48" s="20"/>
    </row>
    <row r="50" spans="2:7" ht="16" x14ac:dyDescent="0.2">
      <c r="B50" s="15" t="s">
        <v>53</v>
      </c>
      <c r="C50" s="1"/>
    </row>
    <row r="51" spans="2:7" x14ac:dyDescent="0.15">
      <c r="B51" s="2" t="s">
        <v>0</v>
      </c>
      <c r="E51" s="1">
        <v>43.73</v>
      </c>
    </row>
    <row r="52" spans="2:7" x14ac:dyDescent="0.15">
      <c r="B52" s="2" t="s">
        <v>36</v>
      </c>
      <c r="E52" s="46" t="s">
        <v>40</v>
      </c>
    </row>
    <row r="53" spans="2:7" x14ac:dyDescent="0.15">
      <c r="B53" s="2" t="s">
        <v>37</v>
      </c>
      <c r="E53" s="46" t="s">
        <v>10</v>
      </c>
    </row>
    <row r="54" spans="2:7" x14ac:dyDescent="0.15">
      <c r="B54" s="2" t="s">
        <v>54</v>
      </c>
      <c r="E54" s="46" t="s">
        <v>41</v>
      </c>
    </row>
    <row r="55" spans="2:7" x14ac:dyDescent="0.15">
      <c r="B55" s="2" t="s">
        <v>55</v>
      </c>
      <c r="E55" s="1">
        <v>0.97040000000000004</v>
      </c>
    </row>
    <row r="58" spans="2:7" ht="16" x14ac:dyDescent="0.2">
      <c r="B58" s="15" t="s">
        <v>536</v>
      </c>
      <c r="D58" s="2"/>
      <c r="E58" s="1"/>
      <c r="F58" s="1"/>
    </row>
    <row r="59" spans="2:7" x14ac:dyDescent="0.15">
      <c r="C59" s="16" t="s">
        <v>45</v>
      </c>
      <c r="D59" s="16" t="s">
        <v>46</v>
      </c>
      <c r="E59" s="16" t="s">
        <v>47</v>
      </c>
      <c r="F59" s="16" t="s">
        <v>48</v>
      </c>
      <c r="G59" s="16" t="s">
        <v>5</v>
      </c>
    </row>
    <row r="60" spans="2:7" x14ac:dyDescent="0.15">
      <c r="B60" s="2" t="s">
        <v>6</v>
      </c>
      <c r="C60" s="1">
        <v>0.9163</v>
      </c>
      <c r="D60" s="1" t="s">
        <v>537</v>
      </c>
      <c r="E60" s="1" t="s">
        <v>41</v>
      </c>
      <c r="F60" s="1" t="s">
        <v>10</v>
      </c>
      <c r="G60" s="46" t="s">
        <v>40</v>
      </c>
    </row>
    <row r="61" spans="2:7" x14ac:dyDescent="0.15">
      <c r="B61" s="2" t="s">
        <v>7</v>
      </c>
      <c r="C61" s="1">
        <v>0.90390000000000004</v>
      </c>
      <c r="D61" s="1" t="s">
        <v>538</v>
      </c>
      <c r="E61" s="1" t="s">
        <v>41</v>
      </c>
      <c r="F61" s="1" t="s">
        <v>10</v>
      </c>
      <c r="G61" s="46" t="s">
        <v>40</v>
      </c>
    </row>
    <row r="62" spans="2:7" x14ac:dyDescent="0.15">
      <c r="B62" s="2" t="s">
        <v>8</v>
      </c>
      <c r="C62" s="1">
        <v>0.77829999999999999</v>
      </c>
      <c r="D62" s="1" t="s">
        <v>539</v>
      </c>
      <c r="E62" s="1" t="s">
        <v>41</v>
      </c>
      <c r="F62" s="1" t="s">
        <v>10</v>
      </c>
      <c r="G62" s="46" t="s">
        <v>40</v>
      </c>
    </row>
    <row r="63" spans="2:7" x14ac:dyDescent="0.15">
      <c r="B63" s="2" t="s">
        <v>540</v>
      </c>
      <c r="C63" s="1">
        <v>-0.70379999999999998</v>
      </c>
      <c r="D63" s="1" t="s">
        <v>541</v>
      </c>
      <c r="E63" s="1" t="s">
        <v>41</v>
      </c>
      <c r="F63" s="1" t="s">
        <v>10</v>
      </c>
      <c r="G63" s="46" t="s">
        <v>40</v>
      </c>
    </row>
    <row r="64" spans="2:7" x14ac:dyDescent="0.15">
      <c r="B64" s="2" t="s">
        <v>542</v>
      </c>
      <c r="C64" s="1">
        <v>-0.48449999999999999</v>
      </c>
      <c r="D64" s="1" t="s">
        <v>543</v>
      </c>
      <c r="E64" s="1" t="s">
        <v>41</v>
      </c>
      <c r="F64" s="1" t="s">
        <v>11</v>
      </c>
      <c r="G64" s="1">
        <v>4.0000000000000001E-3</v>
      </c>
    </row>
    <row r="65" spans="1:9" x14ac:dyDescent="0.15">
      <c r="B65" s="2" t="s">
        <v>544</v>
      </c>
      <c r="C65" s="1">
        <v>-0.44719999999999999</v>
      </c>
      <c r="D65" s="1" t="s">
        <v>545</v>
      </c>
      <c r="E65" s="1" t="s">
        <v>41</v>
      </c>
      <c r="F65" s="1" t="s">
        <v>11</v>
      </c>
      <c r="G65" s="1">
        <v>7.0000000000000001E-3</v>
      </c>
    </row>
    <row r="67" spans="1:9" ht="18" x14ac:dyDescent="0.2">
      <c r="A67" s="146"/>
      <c r="B67" s="64"/>
      <c r="C67" s="64"/>
      <c r="D67" s="64"/>
      <c r="E67" s="64"/>
      <c r="F67" s="64"/>
      <c r="G67" s="64"/>
      <c r="H67" s="64"/>
      <c r="I67" s="64"/>
    </row>
    <row r="68" spans="1:9" x14ac:dyDescent="0.15">
      <c r="A68" s="64"/>
      <c r="B68" s="64"/>
      <c r="C68" s="64"/>
      <c r="D68" s="64"/>
      <c r="E68" s="64"/>
      <c r="F68" s="64"/>
      <c r="G68" s="64"/>
      <c r="H68" s="64"/>
      <c r="I68" s="64"/>
    </row>
    <row r="69" spans="1:9" x14ac:dyDescent="0.15">
      <c r="A69" s="64"/>
      <c r="B69" s="64"/>
      <c r="C69" s="64"/>
      <c r="D69" s="64"/>
      <c r="E69" s="64"/>
      <c r="F69" s="64"/>
      <c r="G69" s="64"/>
      <c r="H69" s="64"/>
      <c r="I69" s="64"/>
    </row>
    <row r="70" spans="1:9" x14ac:dyDescent="0.15">
      <c r="A70" s="64"/>
      <c r="B70" s="21"/>
      <c r="C70" s="142"/>
      <c r="D70" s="142"/>
      <c r="E70" s="142"/>
      <c r="F70" s="142"/>
      <c r="G70" s="64"/>
      <c r="H70" s="64"/>
      <c r="I70" s="64"/>
    </row>
    <row r="71" spans="1:9" x14ac:dyDescent="0.15">
      <c r="A71" s="64"/>
      <c r="B71" s="143"/>
      <c r="C71" s="64"/>
      <c r="D71" s="64"/>
      <c r="E71" s="64"/>
      <c r="F71" s="64"/>
      <c r="G71" s="64"/>
      <c r="H71" s="64"/>
      <c r="I71" s="64"/>
    </row>
    <row r="72" spans="1:9" x14ac:dyDescent="0.15">
      <c r="A72" s="64"/>
      <c r="B72" s="143"/>
      <c r="C72" s="64"/>
      <c r="D72" s="64"/>
      <c r="E72" s="64"/>
      <c r="F72" s="64"/>
      <c r="G72" s="64"/>
      <c r="H72" s="64"/>
      <c r="I72" s="64"/>
    </row>
    <row r="73" spans="1:9" x14ac:dyDescent="0.15">
      <c r="A73" s="64"/>
      <c r="B73" s="143"/>
      <c r="C73" s="64"/>
      <c r="D73" s="64"/>
      <c r="E73" s="64"/>
      <c r="F73" s="64"/>
      <c r="G73" s="64"/>
      <c r="H73" s="64"/>
      <c r="I73" s="64"/>
    </row>
    <row r="74" spans="1:9" x14ac:dyDescent="0.15">
      <c r="A74" s="64"/>
      <c r="B74" s="64"/>
      <c r="C74" s="64"/>
      <c r="D74" s="64"/>
      <c r="E74" s="64"/>
      <c r="F74" s="64"/>
      <c r="G74" s="64"/>
      <c r="H74" s="64"/>
      <c r="I74" s="64"/>
    </row>
    <row r="75" spans="1:9" x14ac:dyDescent="0.15">
      <c r="A75" s="64"/>
      <c r="B75" s="64"/>
      <c r="C75" s="64"/>
      <c r="D75" s="64"/>
      <c r="E75" s="64"/>
      <c r="F75" s="64"/>
      <c r="G75" s="64"/>
      <c r="H75" s="64"/>
      <c r="I75" s="64"/>
    </row>
    <row r="76" spans="1:9" x14ac:dyDescent="0.15">
      <c r="A76" s="64"/>
      <c r="B76" s="64"/>
      <c r="C76" s="64"/>
      <c r="D76" s="64"/>
      <c r="E76" s="64"/>
      <c r="F76" s="64"/>
      <c r="G76" s="64"/>
      <c r="H76" s="64"/>
      <c r="I76" s="64"/>
    </row>
    <row r="77" spans="1:9" x14ac:dyDescent="0.15">
      <c r="A77" s="64"/>
      <c r="B77" s="64"/>
      <c r="C77" s="64"/>
      <c r="D77" s="64"/>
      <c r="E77" s="64"/>
      <c r="F77" s="64"/>
      <c r="G77" s="64"/>
      <c r="H77" s="64"/>
      <c r="I77" s="64"/>
    </row>
    <row r="78" spans="1:9" x14ac:dyDescent="0.15">
      <c r="A78" s="64"/>
      <c r="B78" s="64"/>
      <c r="C78" s="64"/>
      <c r="D78" s="64"/>
      <c r="E78" s="64"/>
      <c r="F78" s="64"/>
      <c r="G78" s="64"/>
      <c r="H78" s="64"/>
      <c r="I78" s="64"/>
    </row>
    <row r="79" spans="1:9" x14ac:dyDescent="0.15">
      <c r="A79" s="64"/>
      <c r="B79" s="64"/>
      <c r="C79" s="64"/>
      <c r="D79" s="64"/>
      <c r="E79" s="64"/>
      <c r="F79" s="64"/>
      <c r="G79" s="64"/>
      <c r="H79" s="64"/>
      <c r="I79" s="64"/>
    </row>
    <row r="80" spans="1:9" ht="18" x14ac:dyDescent="0.2">
      <c r="A80" s="64"/>
      <c r="B80" s="147"/>
      <c r="C80" s="64"/>
      <c r="D80" s="64"/>
      <c r="E80" s="64"/>
      <c r="F80" s="64"/>
      <c r="G80" s="64"/>
      <c r="H80" s="64"/>
      <c r="I80" s="64"/>
    </row>
    <row r="81" spans="1:9" x14ac:dyDescent="0.15">
      <c r="A81" s="64"/>
      <c r="B81" s="64"/>
      <c r="C81" s="64"/>
      <c r="D81" s="64"/>
      <c r="E81" s="64"/>
      <c r="F81" s="64"/>
      <c r="G81" s="64"/>
      <c r="H81" s="64"/>
      <c r="I81" s="64"/>
    </row>
    <row r="82" spans="1:9" ht="16" x14ac:dyDescent="0.2">
      <c r="A82" s="64"/>
      <c r="B82" s="148"/>
      <c r="C82" s="149"/>
      <c r="D82" s="64"/>
      <c r="E82" s="64"/>
      <c r="F82" s="64"/>
      <c r="G82" s="64"/>
      <c r="H82" s="64"/>
      <c r="I82" s="64"/>
    </row>
    <row r="83" spans="1:9" x14ac:dyDescent="0.15">
      <c r="A83" s="64"/>
      <c r="B83" s="150"/>
      <c r="C83" s="64"/>
      <c r="D83" s="64"/>
      <c r="E83" s="149"/>
      <c r="F83" s="64"/>
      <c r="G83" s="64"/>
      <c r="H83" s="64"/>
      <c r="I83" s="64"/>
    </row>
    <row r="84" spans="1:9" x14ac:dyDescent="0.15">
      <c r="A84" s="64"/>
      <c r="B84" s="150"/>
      <c r="C84" s="64"/>
      <c r="D84" s="64"/>
      <c r="E84" s="149"/>
      <c r="F84" s="64"/>
      <c r="G84" s="64"/>
      <c r="H84" s="64"/>
      <c r="I84" s="64"/>
    </row>
    <row r="85" spans="1:9" x14ac:dyDescent="0.15">
      <c r="A85" s="64"/>
      <c r="B85" s="150"/>
      <c r="C85" s="64"/>
      <c r="D85" s="64"/>
      <c r="E85" s="149"/>
      <c r="F85" s="64"/>
      <c r="G85" s="64"/>
      <c r="H85" s="64"/>
      <c r="I85" s="64"/>
    </row>
    <row r="86" spans="1:9" x14ac:dyDescent="0.15">
      <c r="A86" s="64"/>
      <c r="B86" s="150"/>
      <c r="C86" s="64"/>
      <c r="D86" s="64"/>
      <c r="E86" s="149"/>
      <c r="F86" s="64"/>
      <c r="G86" s="64"/>
      <c r="H86" s="64"/>
      <c r="I86" s="64"/>
    </row>
    <row r="87" spans="1:9" x14ac:dyDescent="0.15">
      <c r="A87" s="64"/>
      <c r="B87" s="150"/>
      <c r="C87" s="64"/>
      <c r="D87" s="64"/>
      <c r="E87" s="149"/>
      <c r="F87" s="64"/>
      <c r="G87" s="64"/>
      <c r="H87" s="64"/>
      <c r="I87" s="64"/>
    </row>
    <row r="88" spans="1:9" x14ac:dyDescent="0.15">
      <c r="A88" s="64"/>
      <c r="B88" s="64"/>
      <c r="C88" s="64"/>
      <c r="D88" s="64"/>
      <c r="E88" s="64"/>
      <c r="F88" s="64"/>
      <c r="G88" s="64"/>
      <c r="H88" s="64"/>
      <c r="I88" s="64"/>
    </row>
    <row r="89" spans="1:9" x14ac:dyDescent="0.15">
      <c r="A89" s="64"/>
      <c r="B89" s="64"/>
      <c r="C89" s="64"/>
      <c r="D89" s="64"/>
      <c r="E89" s="64"/>
      <c r="F89" s="64"/>
      <c r="G89" s="64"/>
      <c r="H89" s="64"/>
      <c r="I89" s="64"/>
    </row>
    <row r="90" spans="1:9" ht="16" x14ac:dyDescent="0.2">
      <c r="A90" s="64"/>
      <c r="B90" s="148"/>
      <c r="C90" s="64"/>
      <c r="D90" s="150"/>
      <c r="E90" s="149"/>
      <c r="F90" s="149"/>
      <c r="G90" s="64"/>
      <c r="H90" s="64"/>
      <c r="I90" s="64"/>
    </row>
    <row r="91" spans="1:9" x14ac:dyDescent="0.15">
      <c r="A91" s="64"/>
      <c r="B91" s="64"/>
      <c r="C91" s="63"/>
      <c r="D91" s="63"/>
      <c r="E91" s="63"/>
      <c r="F91" s="63"/>
      <c r="G91" s="63"/>
      <c r="H91" s="64"/>
      <c r="I91" s="64"/>
    </row>
    <row r="92" spans="1:9" x14ac:dyDescent="0.15">
      <c r="A92" s="64"/>
      <c r="B92" s="150"/>
      <c r="C92" s="149"/>
      <c r="D92" s="149"/>
      <c r="E92" s="149"/>
      <c r="F92" s="149"/>
      <c r="G92" s="149"/>
      <c r="H92" s="64"/>
      <c r="I92" s="64"/>
    </row>
    <row r="93" spans="1:9" x14ac:dyDescent="0.15">
      <c r="A93" s="64"/>
      <c r="B93" s="150"/>
      <c r="C93" s="149"/>
      <c r="D93" s="149"/>
      <c r="E93" s="149"/>
      <c r="F93" s="149"/>
      <c r="G93" s="149"/>
      <c r="H93" s="64"/>
      <c r="I93" s="64"/>
    </row>
    <row r="94" spans="1:9" x14ac:dyDescent="0.15">
      <c r="A94" s="64"/>
      <c r="B94" s="150"/>
      <c r="C94" s="149"/>
      <c r="D94" s="149"/>
      <c r="E94" s="149"/>
      <c r="F94" s="149"/>
      <c r="G94" s="149"/>
      <c r="H94" s="64"/>
      <c r="I94" s="64"/>
    </row>
    <row r="100" spans="1:11" x14ac:dyDescent="0.15">
      <c r="A100" s="52"/>
      <c r="B100" s="145"/>
      <c r="C100" s="145"/>
      <c r="D100" s="145"/>
      <c r="E100" s="145"/>
      <c r="G100" s="3"/>
      <c r="K100" s="16"/>
    </row>
    <row r="101" spans="1:11" x14ac:dyDescent="0.15">
      <c r="G101" s="1"/>
      <c r="I101" s="2"/>
      <c r="J101" s="1"/>
      <c r="K101" s="1"/>
    </row>
    <row r="102" spans="1:11" x14ac:dyDescent="0.15">
      <c r="G102" s="1"/>
      <c r="I102" s="2"/>
      <c r="J102" s="1"/>
      <c r="K102" s="1"/>
    </row>
    <row r="103" spans="1:11" x14ac:dyDescent="0.15">
      <c r="I103" s="2"/>
      <c r="J103" s="1"/>
      <c r="K103" s="1"/>
    </row>
  </sheetData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I165"/>
  <sheetViews>
    <sheetView topLeftCell="A95" workbookViewId="0">
      <selection activeCell="B162" sqref="B162:B164"/>
    </sheetView>
  </sheetViews>
  <sheetFormatPr baseColWidth="10" defaultRowHeight="16" x14ac:dyDescent="0.2"/>
  <cols>
    <col min="2" max="2" width="31.83203125" customWidth="1"/>
    <col min="3" max="3" width="22.1640625" customWidth="1"/>
    <col min="4" max="4" width="17.6640625" customWidth="1"/>
    <col min="5" max="5" width="15.6640625" customWidth="1"/>
    <col min="11" max="11" width="14.6640625" customWidth="1"/>
    <col min="13" max="13" width="17" customWidth="1"/>
  </cols>
  <sheetData>
    <row r="2" spans="1:35" ht="18" x14ac:dyDescent="0.2">
      <c r="A2" s="53" t="s">
        <v>665</v>
      </c>
      <c r="B2" s="53"/>
      <c r="M2" s="21"/>
      <c r="N2" s="234"/>
      <c r="O2" s="234"/>
      <c r="P2" s="234"/>
      <c r="Q2" s="234"/>
      <c r="R2" s="234"/>
      <c r="S2" s="234"/>
      <c r="T2" s="234"/>
    </row>
    <row r="3" spans="1:35" x14ac:dyDescent="0.2">
      <c r="A3" s="296"/>
      <c r="B3" s="296"/>
      <c r="C3" s="296"/>
      <c r="D3" s="296"/>
      <c r="E3" s="296"/>
      <c r="F3" s="66"/>
      <c r="G3" s="296"/>
      <c r="H3" s="66"/>
      <c r="I3" s="66"/>
      <c r="J3" s="66"/>
      <c r="K3" s="66"/>
      <c r="L3" s="66"/>
      <c r="M3" s="143"/>
      <c r="N3" s="286"/>
      <c r="O3" s="286"/>
      <c r="P3" s="286"/>
      <c r="Q3" s="420"/>
      <c r="R3" s="286"/>
      <c r="S3" s="286"/>
      <c r="T3" s="286"/>
      <c r="U3" s="66"/>
      <c r="V3" s="66"/>
      <c r="W3" s="66"/>
      <c r="X3" s="66"/>
      <c r="Y3" s="66"/>
      <c r="Z3" s="66"/>
      <c r="AA3" s="66"/>
    </row>
    <row r="4" spans="1:35" ht="18" x14ac:dyDescent="0.2">
      <c r="A4" s="14" t="s">
        <v>1063</v>
      </c>
      <c r="B4" s="14"/>
      <c r="C4" s="14"/>
      <c r="D4" s="14"/>
      <c r="E4" s="14"/>
      <c r="F4" s="14"/>
      <c r="G4" s="14"/>
      <c r="H4" s="93"/>
      <c r="I4" s="93"/>
      <c r="J4" s="93"/>
      <c r="K4" s="296"/>
      <c r="L4" s="66"/>
      <c r="M4" s="143"/>
      <c r="N4" s="286"/>
      <c r="O4" s="286"/>
      <c r="P4" s="286"/>
      <c r="Q4" s="286"/>
      <c r="R4" s="286"/>
      <c r="S4" s="286"/>
      <c r="T4" s="286"/>
      <c r="U4" s="296"/>
      <c r="V4" s="296"/>
      <c r="W4" s="296"/>
      <c r="X4" s="66"/>
      <c r="Y4" s="66"/>
      <c r="Z4" s="66"/>
      <c r="AA4" s="66"/>
    </row>
    <row r="5" spans="1:35" x14ac:dyDescent="0.2">
      <c r="M5" s="143"/>
      <c r="N5" s="286"/>
      <c r="O5" s="286"/>
      <c r="P5" s="286"/>
      <c r="Q5" s="286"/>
      <c r="R5" s="286"/>
      <c r="S5" s="286"/>
      <c r="T5" s="286"/>
      <c r="AA5" s="66"/>
    </row>
    <row r="6" spans="1:35" x14ac:dyDescent="0.2">
      <c r="M6" s="58"/>
      <c r="N6" s="58"/>
      <c r="O6" s="58"/>
      <c r="P6" s="58"/>
      <c r="Q6" s="58"/>
      <c r="R6" s="58"/>
      <c r="S6" s="58"/>
      <c r="T6" s="58"/>
      <c r="AA6" s="66"/>
    </row>
    <row r="7" spans="1:35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64"/>
      <c r="N7" s="58"/>
      <c r="O7" s="58"/>
      <c r="P7" s="58"/>
      <c r="Q7" s="58"/>
      <c r="R7" s="58"/>
      <c r="S7" s="58"/>
      <c r="T7" s="58"/>
      <c r="AA7" s="66"/>
    </row>
    <row r="8" spans="1:35" x14ac:dyDescent="0.2">
      <c r="A8" s="9"/>
      <c r="B8" s="9"/>
      <c r="C8" s="9"/>
      <c r="D8" s="177" t="s">
        <v>1</v>
      </c>
      <c r="E8" s="421" t="s">
        <v>656</v>
      </c>
      <c r="F8" s="421" t="s">
        <v>657</v>
      </c>
      <c r="G8" s="421" t="s">
        <v>658</v>
      </c>
      <c r="H8" s="421" t="s">
        <v>659</v>
      </c>
      <c r="I8" s="421" t="s">
        <v>660</v>
      </c>
      <c r="J8" s="421" t="s">
        <v>661</v>
      </c>
      <c r="K8" s="421" t="s">
        <v>662</v>
      </c>
      <c r="L8" s="9"/>
      <c r="M8" s="21"/>
      <c r="N8" s="234"/>
      <c r="O8" s="234"/>
      <c r="P8" s="234"/>
      <c r="Q8" s="234"/>
      <c r="R8" s="234"/>
      <c r="S8" s="234"/>
      <c r="T8" s="234"/>
      <c r="AA8" s="66"/>
    </row>
    <row r="9" spans="1:35" x14ac:dyDescent="0.2">
      <c r="A9" s="9"/>
      <c r="B9" s="9"/>
      <c r="C9" s="9"/>
      <c r="D9" s="178" t="s">
        <v>32</v>
      </c>
      <c r="E9" s="413">
        <v>0.53</v>
      </c>
      <c r="F9" s="413">
        <v>0.61</v>
      </c>
      <c r="G9" s="413">
        <v>0.67</v>
      </c>
      <c r="H9" s="413">
        <v>0.8</v>
      </c>
      <c r="I9" s="413">
        <v>0.82</v>
      </c>
      <c r="J9" s="413">
        <v>0.89</v>
      </c>
      <c r="K9" s="422">
        <v>1</v>
      </c>
      <c r="L9" s="9"/>
      <c r="M9" s="143"/>
      <c r="N9" s="286"/>
      <c r="O9" s="285"/>
      <c r="P9" s="285"/>
      <c r="Q9" s="286"/>
      <c r="R9" s="285"/>
      <c r="S9" s="286"/>
      <c r="T9" s="286"/>
      <c r="AA9" s="66"/>
      <c r="AB9" s="179"/>
      <c r="AD9" s="416"/>
      <c r="AE9" s="417"/>
      <c r="AF9" s="417"/>
      <c r="AG9" s="416"/>
      <c r="AH9" s="417"/>
      <c r="AI9" s="417"/>
    </row>
    <row r="10" spans="1:35" x14ac:dyDescent="0.2">
      <c r="A10" s="9"/>
      <c r="B10" s="9"/>
      <c r="C10" s="9"/>
      <c r="D10" s="178" t="s">
        <v>33</v>
      </c>
      <c r="E10" s="413">
        <v>0.6</v>
      </c>
      <c r="F10" s="413">
        <v>0.69</v>
      </c>
      <c r="G10" s="413">
        <v>0.53</v>
      </c>
      <c r="H10" s="413">
        <v>0.55000000000000004</v>
      </c>
      <c r="I10" s="413">
        <v>0.63</v>
      </c>
      <c r="J10" s="413">
        <v>0.74</v>
      </c>
      <c r="K10" s="413">
        <v>0.6</v>
      </c>
      <c r="L10" s="9"/>
      <c r="M10" s="143"/>
      <c r="N10" s="286"/>
      <c r="O10" s="285"/>
      <c r="P10" s="285"/>
      <c r="Q10" s="286"/>
      <c r="R10" s="285"/>
      <c r="S10" s="286"/>
      <c r="T10" s="286"/>
      <c r="AA10" s="66"/>
    </row>
    <row r="11" spans="1:35" x14ac:dyDescent="0.2">
      <c r="A11" s="9"/>
      <c r="B11" s="9"/>
      <c r="C11" s="9"/>
      <c r="D11" s="178" t="s">
        <v>34</v>
      </c>
      <c r="E11" s="413">
        <v>0.57999999999999996</v>
      </c>
      <c r="F11" s="413">
        <v>0.62</v>
      </c>
      <c r="G11" s="413">
        <v>0.66</v>
      </c>
      <c r="H11" s="413">
        <v>0.78</v>
      </c>
      <c r="I11" s="413">
        <v>0.95</v>
      </c>
      <c r="J11" s="413">
        <v>1.1000000000000001</v>
      </c>
      <c r="K11" s="413">
        <v>1.6</v>
      </c>
      <c r="L11" s="9"/>
      <c r="M11" s="143"/>
      <c r="N11" s="286"/>
      <c r="O11" s="285"/>
      <c r="P11" s="285"/>
      <c r="Q11" s="286"/>
      <c r="R11" s="285"/>
      <c r="S11" s="286"/>
      <c r="T11" s="286"/>
      <c r="AA11" s="58"/>
      <c r="AB11" s="78"/>
      <c r="AC11" s="78"/>
      <c r="AD11" s="78"/>
      <c r="AE11" s="78"/>
      <c r="AF11" s="78"/>
      <c r="AG11" s="78"/>
      <c r="AH11" s="78"/>
      <c r="AI11" s="78"/>
    </row>
    <row r="12" spans="1:35" x14ac:dyDescent="0.2">
      <c r="A12" s="9"/>
      <c r="B12" s="9"/>
      <c r="C12" s="9"/>
      <c r="D12" s="178" t="s">
        <v>35</v>
      </c>
      <c r="E12" s="413">
        <v>0.76</v>
      </c>
      <c r="F12" s="413">
        <v>0.81</v>
      </c>
      <c r="G12" s="413">
        <v>0.88</v>
      </c>
      <c r="H12" s="423">
        <v>0.83</v>
      </c>
      <c r="I12" s="413">
        <v>1</v>
      </c>
      <c r="J12" s="413">
        <v>1.4</v>
      </c>
      <c r="K12" s="413">
        <v>1.7</v>
      </c>
      <c r="L12" s="9"/>
      <c r="M12" s="64"/>
      <c r="N12" s="58"/>
      <c r="O12" s="58"/>
      <c r="P12" s="58"/>
      <c r="Q12" s="58"/>
      <c r="R12" s="58"/>
      <c r="S12" s="58"/>
      <c r="T12" s="58"/>
      <c r="AA12" s="58"/>
      <c r="AB12" s="78"/>
      <c r="AC12" s="418"/>
      <c r="AD12" s="418"/>
      <c r="AE12" s="418"/>
      <c r="AF12" s="418"/>
      <c r="AG12" s="418"/>
      <c r="AH12" s="418"/>
      <c r="AI12" s="418"/>
    </row>
    <row r="13" spans="1:35" x14ac:dyDescent="0.2">
      <c r="A13" s="9"/>
      <c r="B13" s="9"/>
      <c r="C13" s="9"/>
      <c r="D13" s="178" t="s">
        <v>81</v>
      </c>
      <c r="E13" s="413">
        <v>0.55000000000000004</v>
      </c>
      <c r="F13" s="413">
        <v>0.67</v>
      </c>
      <c r="G13" s="413">
        <v>0.69</v>
      </c>
      <c r="H13" s="413">
        <v>0.72</v>
      </c>
      <c r="I13" s="413">
        <v>0.79</v>
      </c>
      <c r="J13" s="413">
        <v>0.79</v>
      </c>
      <c r="K13" s="413">
        <v>0.84</v>
      </c>
      <c r="L13" s="9"/>
      <c r="M13" s="21"/>
      <c r="N13" s="234"/>
      <c r="O13" s="234"/>
      <c r="P13" s="234"/>
      <c r="Q13" s="234"/>
      <c r="R13" s="234"/>
      <c r="S13" s="234"/>
      <c r="T13" s="234"/>
      <c r="AA13" s="58"/>
      <c r="AB13" s="68"/>
      <c r="AC13" s="419"/>
      <c r="AD13" s="419"/>
      <c r="AE13" s="419"/>
      <c r="AF13" s="419"/>
      <c r="AG13" s="419"/>
      <c r="AH13" s="419"/>
      <c r="AI13" s="419"/>
    </row>
    <row r="14" spans="1:35" x14ac:dyDescent="0.2">
      <c r="A14" s="9"/>
      <c r="B14" s="9"/>
      <c r="C14" s="9"/>
      <c r="D14" s="178" t="s">
        <v>169</v>
      </c>
      <c r="E14" s="413">
        <v>0.54</v>
      </c>
      <c r="F14" s="413">
        <v>0.57999999999999996</v>
      </c>
      <c r="G14" s="413">
        <v>0.76</v>
      </c>
      <c r="H14" s="413">
        <v>0.79</v>
      </c>
      <c r="I14" s="413">
        <v>0.82</v>
      </c>
      <c r="J14" s="413">
        <v>0.81</v>
      </c>
      <c r="K14" s="413">
        <v>0.88</v>
      </c>
      <c r="L14" s="9"/>
      <c r="M14" s="143"/>
      <c r="N14" s="286"/>
      <c r="O14" s="285"/>
      <c r="P14" s="286"/>
      <c r="Q14" s="286"/>
      <c r="R14" s="286"/>
      <c r="S14" s="286"/>
      <c r="T14" s="286"/>
      <c r="U14" s="78"/>
      <c r="V14" s="78"/>
      <c r="W14" s="78"/>
      <c r="X14" s="78"/>
      <c r="Y14" s="78"/>
      <c r="Z14" s="78"/>
      <c r="AA14" s="58"/>
      <c r="AB14" s="78"/>
      <c r="AC14" s="78"/>
      <c r="AD14" s="78"/>
      <c r="AE14" s="78"/>
      <c r="AF14" s="78"/>
      <c r="AG14" s="78"/>
      <c r="AH14" s="78"/>
      <c r="AI14" s="78"/>
    </row>
    <row r="15" spans="1:35" x14ac:dyDescent="0.2">
      <c r="A15" s="9"/>
      <c r="B15" s="9"/>
      <c r="C15" s="9"/>
      <c r="D15" s="178" t="s">
        <v>170</v>
      </c>
      <c r="E15" s="413">
        <v>0.9</v>
      </c>
      <c r="F15" s="413">
        <v>1.2</v>
      </c>
      <c r="G15" s="413">
        <v>1.2</v>
      </c>
      <c r="H15" s="413">
        <v>1.6</v>
      </c>
      <c r="I15" s="413">
        <v>1.7</v>
      </c>
      <c r="J15" s="413">
        <v>1.7</v>
      </c>
      <c r="K15" s="413">
        <v>1.8</v>
      </c>
      <c r="L15" s="9"/>
      <c r="M15" s="143"/>
      <c r="N15" s="286"/>
      <c r="O15" s="285"/>
      <c r="P15" s="286"/>
      <c r="Q15" s="286"/>
      <c r="R15" s="286"/>
      <c r="S15" s="286"/>
      <c r="T15" s="286"/>
      <c r="U15" s="78"/>
      <c r="V15" s="78"/>
      <c r="W15" s="78"/>
      <c r="X15" s="78"/>
      <c r="Y15" s="78"/>
      <c r="Z15" s="78"/>
      <c r="AA15" s="58"/>
      <c r="AB15" s="78"/>
      <c r="AC15" s="78"/>
      <c r="AD15" s="78"/>
      <c r="AE15" s="78"/>
      <c r="AF15" s="78"/>
      <c r="AG15" s="78"/>
      <c r="AH15" s="78"/>
      <c r="AI15" s="78"/>
    </row>
    <row r="16" spans="1:35" x14ac:dyDescent="0.2">
      <c r="A16" s="9"/>
      <c r="B16" s="9"/>
      <c r="C16" s="9"/>
      <c r="D16" s="11" t="s">
        <v>171</v>
      </c>
      <c r="E16" s="17">
        <v>1.2</v>
      </c>
      <c r="F16" s="17">
        <v>1.2</v>
      </c>
      <c r="G16" s="17">
        <v>1.5</v>
      </c>
      <c r="H16" s="17">
        <v>1.54</v>
      </c>
      <c r="I16" s="17">
        <v>1.75</v>
      </c>
      <c r="J16" s="17">
        <v>1.83</v>
      </c>
      <c r="K16" s="17">
        <v>2.1</v>
      </c>
      <c r="L16" s="9"/>
      <c r="M16" s="143"/>
      <c r="N16" s="286"/>
      <c r="O16" s="285"/>
      <c r="P16" s="286"/>
      <c r="Q16" s="286"/>
      <c r="R16" s="286"/>
      <c r="S16" s="286"/>
      <c r="T16" s="286"/>
      <c r="U16" s="78"/>
      <c r="V16" s="78"/>
      <c r="W16" s="78"/>
      <c r="X16" s="78"/>
      <c r="Y16" s="78"/>
      <c r="Z16" s="78"/>
      <c r="AA16" s="58"/>
      <c r="AB16" s="78"/>
      <c r="AC16" s="78"/>
      <c r="AD16" s="78"/>
      <c r="AE16" s="78"/>
      <c r="AF16" s="78"/>
      <c r="AG16" s="78"/>
      <c r="AH16" s="78"/>
      <c r="AI16" s="78"/>
    </row>
    <row r="17" spans="1:35" x14ac:dyDescent="0.2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143"/>
      <c r="N17" s="286"/>
      <c r="O17" s="285"/>
      <c r="P17" s="286"/>
      <c r="Q17" s="286"/>
      <c r="R17" s="286"/>
      <c r="S17" s="286"/>
      <c r="T17" s="286"/>
      <c r="U17" s="78"/>
      <c r="V17" s="78"/>
      <c r="W17" s="78"/>
      <c r="X17" s="78"/>
      <c r="Y17" s="78"/>
      <c r="Z17" s="78"/>
      <c r="AA17" s="58"/>
      <c r="AB17" s="78"/>
      <c r="AC17" s="78"/>
      <c r="AD17" s="78"/>
      <c r="AE17" s="78"/>
      <c r="AF17" s="78"/>
      <c r="AG17" s="78"/>
      <c r="AH17" s="78"/>
      <c r="AI17" s="78"/>
    </row>
    <row r="18" spans="1:35" x14ac:dyDescent="0.2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137"/>
      <c r="M18" s="143"/>
      <c r="N18" s="286"/>
      <c r="O18" s="285"/>
      <c r="P18" s="286"/>
      <c r="Q18" s="286"/>
      <c r="R18" s="286"/>
      <c r="S18" s="286"/>
      <c r="T18" s="286"/>
      <c r="U18" s="418"/>
      <c r="V18" s="418"/>
      <c r="W18" s="418"/>
      <c r="X18" s="418"/>
      <c r="Y18" s="418"/>
      <c r="Z18" s="418"/>
      <c r="AA18" s="58"/>
      <c r="AB18" s="78"/>
      <c r="AC18" s="78"/>
      <c r="AD18" s="78"/>
      <c r="AE18" s="78"/>
      <c r="AF18" s="78"/>
      <c r="AG18" s="78"/>
      <c r="AH18" s="78"/>
      <c r="AI18" s="78"/>
    </row>
    <row r="19" spans="1:35" x14ac:dyDescent="0.2">
      <c r="A19" s="9"/>
      <c r="B19" s="9"/>
      <c r="C19" s="9"/>
      <c r="D19" s="177" t="s">
        <v>2</v>
      </c>
      <c r="E19" s="421" t="s">
        <v>656</v>
      </c>
      <c r="F19" s="421" t="s">
        <v>657</v>
      </c>
      <c r="G19" s="421" t="s">
        <v>658</v>
      </c>
      <c r="H19" s="421" t="s">
        <v>659</v>
      </c>
      <c r="I19" s="421" t="s">
        <v>660</v>
      </c>
      <c r="J19" s="421" t="s">
        <v>661</v>
      </c>
      <c r="K19" s="421" t="s">
        <v>662</v>
      </c>
      <c r="L19" s="137"/>
      <c r="M19" s="143"/>
      <c r="N19" s="286"/>
      <c r="O19" s="285"/>
      <c r="P19" s="286"/>
      <c r="Q19" s="286"/>
      <c r="R19" s="286"/>
      <c r="S19" s="286"/>
      <c r="T19" s="286"/>
      <c r="U19" s="78"/>
      <c r="V19" s="78"/>
      <c r="W19" s="78"/>
      <c r="X19" s="78"/>
      <c r="Y19" s="78"/>
      <c r="Z19" s="78"/>
      <c r="AA19" s="58"/>
      <c r="AB19" s="78"/>
      <c r="AC19" s="78"/>
      <c r="AD19" s="78"/>
      <c r="AE19" s="78"/>
      <c r="AF19" s="78"/>
      <c r="AG19" s="78"/>
      <c r="AH19" s="78"/>
      <c r="AI19" s="78"/>
    </row>
    <row r="20" spans="1:35" x14ac:dyDescent="0.2">
      <c r="A20" s="9"/>
      <c r="B20" s="9"/>
      <c r="C20" s="9"/>
      <c r="D20" s="11" t="s">
        <v>32</v>
      </c>
      <c r="E20" s="413">
        <v>0.41</v>
      </c>
      <c r="F20" s="413">
        <v>0.44</v>
      </c>
      <c r="G20" s="413">
        <v>0.38</v>
      </c>
      <c r="H20" s="423">
        <v>0.36</v>
      </c>
      <c r="I20" s="413">
        <v>0.37</v>
      </c>
      <c r="J20" s="413">
        <v>0.23</v>
      </c>
      <c r="K20" s="413">
        <v>0.15</v>
      </c>
      <c r="L20" s="334"/>
      <c r="M20" s="9"/>
      <c r="U20" s="393"/>
      <c r="V20" s="393"/>
      <c r="W20" s="393"/>
      <c r="X20" s="393"/>
      <c r="Y20" s="58"/>
      <c r="Z20" s="58"/>
      <c r="AA20" s="58"/>
      <c r="AB20" s="78"/>
      <c r="AC20" s="78"/>
      <c r="AD20" s="78"/>
      <c r="AE20" s="78"/>
      <c r="AF20" s="78"/>
      <c r="AG20" s="78"/>
      <c r="AH20" s="78"/>
      <c r="AI20" s="78"/>
    </row>
    <row r="21" spans="1:35" x14ac:dyDescent="0.2">
      <c r="A21" s="9"/>
      <c r="B21" s="9"/>
      <c r="C21" s="9"/>
      <c r="D21" s="11" t="s">
        <v>33</v>
      </c>
      <c r="E21" s="413">
        <v>0.4</v>
      </c>
      <c r="F21" s="413">
        <v>0.49</v>
      </c>
      <c r="G21" s="413">
        <v>0.47</v>
      </c>
      <c r="H21" s="413">
        <v>0.38</v>
      </c>
      <c r="I21" s="413">
        <v>0.33</v>
      </c>
      <c r="J21" s="413">
        <v>0.15</v>
      </c>
      <c r="K21" s="413">
        <v>0.15</v>
      </c>
      <c r="L21" s="334"/>
      <c r="M21" s="9"/>
      <c r="U21" s="393"/>
      <c r="V21" s="393"/>
      <c r="W21" s="393"/>
      <c r="X21" s="393"/>
      <c r="Y21" s="58"/>
      <c r="Z21" s="58"/>
      <c r="AA21" s="78"/>
      <c r="AB21" s="78"/>
      <c r="AC21" s="78"/>
      <c r="AD21" s="78"/>
      <c r="AE21" s="78"/>
      <c r="AF21" s="78"/>
      <c r="AG21" s="78"/>
      <c r="AH21" s="78"/>
      <c r="AI21" s="78"/>
    </row>
    <row r="22" spans="1:35" x14ac:dyDescent="0.2">
      <c r="A22" s="9"/>
      <c r="B22" s="9"/>
      <c r="C22" s="9"/>
      <c r="D22" s="11" t="s">
        <v>34</v>
      </c>
      <c r="E22" s="413">
        <v>0.36</v>
      </c>
      <c r="F22" s="413">
        <v>0.38</v>
      </c>
      <c r="G22" s="413">
        <v>0.39</v>
      </c>
      <c r="H22" s="413">
        <v>0.3</v>
      </c>
      <c r="I22" s="413">
        <v>0.3</v>
      </c>
      <c r="J22" s="413">
        <v>0.22</v>
      </c>
      <c r="K22" s="413">
        <v>0.18</v>
      </c>
      <c r="L22" s="42"/>
      <c r="M22" s="9"/>
      <c r="U22" s="303"/>
      <c r="V22" s="303"/>
      <c r="W22" s="303"/>
      <c r="X22" s="303"/>
      <c r="Y22" s="58"/>
      <c r="Z22" s="58"/>
      <c r="AA22" s="78"/>
      <c r="AB22" s="78"/>
      <c r="AC22" s="78"/>
      <c r="AD22" s="78"/>
      <c r="AE22" s="78"/>
      <c r="AF22" s="78"/>
      <c r="AG22" s="78"/>
      <c r="AH22" s="78"/>
      <c r="AI22" s="78"/>
    </row>
    <row r="23" spans="1:35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334"/>
      <c r="M23" s="9"/>
      <c r="U23" s="78"/>
      <c r="V23" s="393"/>
      <c r="W23" s="393"/>
      <c r="X23" s="393"/>
      <c r="Y23" s="58"/>
      <c r="Z23" s="58"/>
      <c r="AA23" s="78"/>
      <c r="AB23" s="78"/>
      <c r="AC23" s="78"/>
      <c r="AD23" s="78"/>
      <c r="AE23" s="78"/>
      <c r="AF23" s="78"/>
      <c r="AG23" s="78"/>
      <c r="AH23" s="78"/>
      <c r="AI23" s="78"/>
    </row>
    <row r="24" spans="1:35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U24" s="78"/>
      <c r="V24" s="78"/>
      <c r="W24" s="78"/>
      <c r="X24" s="78"/>
      <c r="Y24" s="64"/>
      <c r="Z24" s="78"/>
      <c r="AA24" s="78"/>
      <c r="AB24" s="78"/>
      <c r="AC24" s="78"/>
      <c r="AD24" s="78"/>
      <c r="AE24" s="78"/>
      <c r="AF24" s="78"/>
      <c r="AG24" s="78"/>
      <c r="AH24" s="78"/>
      <c r="AI24" s="78"/>
    </row>
    <row r="25" spans="1:35" x14ac:dyDescent="0.2">
      <c r="A25" s="9"/>
      <c r="B25" s="9"/>
      <c r="C25" s="9"/>
      <c r="D25" s="177" t="s">
        <v>3</v>
      </c>
      <c r="E25" s="421" t="s">
        <v>656</v>
      </c>
      <c r="F25" s="421" t="s">
        <v>657</v>
      </c>
      <c r="G25" s="421" t="s">
        <v>658</v>
      </c>
      <c r="H25" s="421" t="s">
        <v>659</v>
      </c>
      <c r="I25" s="421" t="s">
        <v>660</v>
      </c>
      <c r="J25" s="421" t="s">
        <v>661</v>
      </c>
      <c r="K25" s="421" t="s">
        <v>662</v>
      </c>
      <c r="L25" s="9"/>
      <c r="M25" s="9"/>
      <c r="U25" s="78"/>
      <c r="V25" s="78"/>
      <c r="W25" s="78"/>
      <c r="X25" s="78"/>
      <c r="Y25" s="68"/>
      <c r="Z25" s="78"/>
      <c r="AA25" s="78"/>
      <c r="AB25" s="78"/>
      <c r="AC25" s="78"/>
      <c r="AD25" s="78"/>
      <c r="AE25" s="78"/>
      <c r="AF25" s="78"/>
      <c r="AG25" s="78"/>
      <c r="AH25" s="78"/>
      <c r="AI25" s="78"/>
    </row>
    <row r="26" spans="1:35" x14ac:dyDescent="0.2">
      <c r="A26" s="9"/>
      <c r="B26" s="9"/>
      <c r="C26" s="9"/>
      <c r="D26" s="11" t="s">
        <v>32</v>
      </c>
      <c r="E26" s="413">
        <v>0.38</v>
      </c>
      <c r="F26" s="213">
        <v>0.51</v>
      </c>
      <c r="G26" s="213">
        <v>0.47</v>
      </c>
      <c r="H26" s="413">
        <v>0.47</v>
      </c>
      <c r="I26" s="213">
        <v>0.38</v>
      </c>
      <c r="J26" s="413">
        <v>0.35</v>
      </c>
      <c r="K26" s="413">
        <v>0.26</v>
      </c>
      <c r="L26" s="9"/>
      <c r="M26" s="9"/>
      <c r="U26" s="78"/>
      <c r="V26" s="78"/>
      <c r="W26" s="78"/>
      <c r="X26" s="78"/>
      <c r="Y26" s="68"/>
      <c r="Z26" s="78"/>
      <c r="AA26" s="78"/>
      <c r="AB26" s="78"/>
      <c r="AC26" s="78"/>
      <c r="AD26" s="78"/>
      <c r="AE26" s="78"/>
      <c r="AF26" s="78"/>
      <c r="AG26" s="78"/>
      <c r="AH26" s="78"/>
      <c r="AI26" s="78"/>
    </row>
    <row r="27" spans="1:35" x14ac:dyDescent="0.2">
      <c r="A27" s="9"/>
      <c r="B27" s="9"/>
      <c r="C27" s="9"/>
      <c r="D27" s="11" t="s">
        <v>33</v>
      </c>
      <c r="E27" s="413">
        <v>0.38</v>
      </c>
      <c r="F27" s="213">
        <v>0.38</v>
      </c>
      <c r="G27" s="213">
        <v>0.36</v>
      </c>
      <c r="H27" s="413">
        <v>0.34</v>
      </c>
      <c r="I27" s="213">
        <v>0.28000000000000003</v>
      </c>
      <c r="J27" s="413">
        <v>0.23</v>
      </c>
      <c r="K27" s="413">
        <v>0.22</v>
      </c>
      <c r="L27" s="9"/>
      <c r="M27" s="9"/>
      <c r="U27" s="78"/>
      <c r="V27" s="78"/>
      <c r="W27" s="78"/>
      <c r="X27" s="78"/>
      <c r="Y27" s="68"/>
      <c r="Z27" s="78"/>
      <c r="AA27" s="78"/>
      <c r="AB27" s="78"/>
      <c r="AC27" s="78"/>
      <c r="AD27" s="78"/>
      <c r="AE27" s="78"/>
      <c r="AF27" s="78"/>
      <c r="AG27" s="78"/>
      <c r="AH27" s="78"/>
      <c r="AI27" s="78"/>
    </row>
    <row r="28" spans="1:35" x14ac:dyDescent="0.2">
      <c r="A28" s="9"/>
      <c r="B28" s="9"/>
      <c r="C28" s="9"/>
      <c r="D28" s="11" t="s">
        <v>34</v>
      </c>
      <c r="E28" s="413">
        <v>0.4</v>
      </c>
      <c r="F28" s="213">
        <v>0.39</v>
      </c>
      <c r="G28" s="213">
        <v>0.36</v>
      </c>
      <c r="H28" s="413">
        <v>0.34</v>
      </c>
      <c r="I28" s="213">
        <v>0.3</v>
      </c>
      <c r="J28" s="413">
        <v>0.25</v>
      </c>
      <c r="K28" s="413">
        <v>0.18</v>
      </c>
      <c r="L28" s="9"/>
      <c r="M28" s="9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</row>
    <row r="29" spans="1:35" x14ac:dyDescent="0.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U29" s="78"/>
      <c r="V29" s="78"/>
      <c r="W29" s="78"/>
      <c r="X29" s="78"/>
      <c r="Y29" s="78"/>
      <c r="Z29" s="78"/>
    </row>
    <row r="30" spans="1:35" x14ac:dyDescent="0.2">
      <c r="A30" s="9"/>
      <c r="B30" s="42"/>
      <c r="C30" s="42"/>
      <c r="D30" s="42"/>
      <c r="E30" s="42"/>
      <c r="F30" s="42"/>
      <c r="G30" s="42"/>
      <c r="H30" s="42"/>
      <c r="I30" s="42"/>
      <c r="J30" s="9"/>
      <c r="K30" s="9"/>
      <c r="L30" s="9"/>
      <c r="M30" s="9"/>
    </row>
    <row r="31" spans="1:35" x14ac:dyDescent="0.2">
      <c r="A31" s="9"/>
      <c r="B31" s="9"/>
      <c r="C31" s="9"/>
      <c r="D31" s="177" t="s">
        <v>4</v>
      </c>
      <c r="E31" s="421" t="s">
        <v>656</v>
      </c>
      <c r="F31" s="421" t="s">
        <v>657</v>
      </c>
      <c r="G31" s="421" t="s">
        <v>658</v>
      </c>
      <c r="H31" s="421" t="s">
        <v>659</v>
      </c>
      <c r="I31" s="421" t="s">
        <v>660</v>
      </c>
      <c r="J31" s="421" t="s">
        <v>661</v>
      </c>
      <c r="K31" s="421" t="s">
        <v>662</v>
      </c>
      <c r="L31" s="9"/>
      <c r="M31" s="9"/>
    </row>
    <row r="32" spans="1:35" x14ac:dyDescent="0.2">
      <c r="A32" s="9"/>
      <c r="B32" s="9"/>
      <c r="C32" s="9"/>
      <c r="D32" s="11" t="s">
        <v>32</v>
      </c>
      <c r="E32" s="413">
        <v>0.42</v>
      </c>
      <c r="F32" s="213">
        <v>0.45</v>
      </c>
      <c r="G32" s="413">
        <v>0.53</v>
      </c>
      <c r="H32" s="413">
        <v>0.42</v>
      </c>
      <c r="I32" s="413">
        <v>0.37</v>
      </c>
      <c r="J32" s="413">
        <v>0.26</v>
      </c>
      <c r="K32" s="413">
        <v>0.12</v>
      </c>
      <c r="L32" s="9"/>
      <c r="M32" s="9"/>
    </row>
    <row r="33" spans="1:13" x14ac:dyDescent="0.2">
      <c r="A33" s="9"/>
      <c r="B33" s="9"/>
      <c r="C33" s="9"/>
      <c r="D33" s="11" t="s">
        <v>33</v>
      </c>
      <c r="E33" s="413">
        <v>0.41</v>
      </c>
      <c r="F33" s="213">
        <v>0.46</v>
      </c>
      <c r="G33" s="413">
        <v>0.49</v>
      </c>
      <c r="H33" s="413">
        <v>0.3</v>
      </c>
      <c r="I33" s="413">
        <v>0.33</v>
      </c>
      <c r="J33" s="413">
        <v>0.17</v>
      </c>
      <c r="K33" s="413">
        <v>0.15</v>
      </c>
      <c r="L33" s="9"/>
      <c r="M33" s="9"/>
    </row>
    <row r="34" spans="1:13" x14ac:dyDescent="0.2">
      <c r="A34" s="9"/>
      <c r="B34" s="9"/>
      <c r="C34" s="9"/>
      <c r="D34" s="11" t="s">
        <v>34</v>
      </c>
      <c r="E34" s="413">
        <v>0.35</v>
      </c>
      <c r="F34" s="213">
        <v>0.27</v>
      </c>
      <c r="G34" s="413">
        <v>0.26</v>
      </c>
      <c r="H34" s="413">
        <v>0.22</v>
      </c>
      <c r="I34" s="413">
        <v>0.19</v>
      </c>
      <c r="J34" s="413">
        <v>0.12</v>
      </c>
      <c r="K34" s="413">
        <v>0.08</v>
      </c>
      <c r="L34" s="9"/>
      <c r="M34" s="9"/>
    </row>
    <row r="35" spans="1:13" x14ac:dyDescent="0.2">
      <c r="A35" s="9"/>
      <c r="B35" s="9"/>
      <c r="C35" s="9"/>
      <c r="D35" s="11" t="s">
        <v>35</v>
      </c>
      <c r="E35" s="413">
        <v>0.39</v>
      </c>
      <c r="F35" s="213">
        <v>0.41</v>
      </c>
      <c r="G35" s="413">
        <v>0.41</v>
      </c>
      <c r="H35" s="413">
        <v>0.35</v>
      </c>
      <c r="I35" s="413">
        <v>0.25</v>
      </c>
      <c r="J35" s="413">
        <v>0.19</v>
      </c>
      <c r="K35" s="413">
        <v>0.14000000000000001</v>
      </c>
      <c r="L35" s="9"/>
      <c r="M35" s="9"/>
    </row>
    <row r="36" spans="1:13" x14ac:dyDescent="0.2">
      <c r="A36" s="9"/>
      <c r="B36" s="9"/>
      <c r="C36" s="9"/>
      <c r="D36" s="161" t="s">
        <v>81</v>
      </c>
      <c r="E36" s="413">
        <v>0.36</v>
      </c>
      <c r="F36" s="213">
        <v>0.33</v>
      </c>
      <c r="G36" s="413">
        <v>0.39</v>
      </c>
      <c r="H36" s="413">
        <v>0.35</v>
      </c>
      <c r="I36" s="413">
        <v>0.3</v>
      </c>
      <c r="J36" s="413">
        <v>0.21</v>
      </c>
      <c r="K36" s="413">
        <v>0.18</v>
      </c>
      <c r="L36" s="9"/>
      <c r="M36" s="9"/>
    </row>
    <row r="37" spans="1:13" x14ac:dyDescent="0.2">
      <c r="A37" s="9"/>
      <c r="B37" s="9"/>
      <c r="C37" s="9"/>
      <c r="D37" s="11" t="s">
        <v>169</v>
      </c>
      <c r="E37" s="413">
        <v>0.39</v>
      </c>
      <c r="F37" s="213">
        <v>0.45</v>
      </c>
      <c r="G37" s="413">
        <v>0.43</v>
      </c>
      <c r="H37" s="413">
        <v>0.43</v>
      </c>
      <c r="I37" s="413">
        <v>0.33</v>
      </c>
      <c r="J37" s="413">
        <v>0.21</v>
      </c>
      <c r="K37" s="413">
        <v>0.19</v>
      </c>
      <c r="L37" s="9"/>
      <c r="M37" s="9"/>
    </row>
    <row r="38" spans="1:13" x14ac:dyDescent="0.2">
      <c r="A38" s="9"/>
      <c r="B38" s="9"/>
      <c r="C38" s="9"/>
      <c r="D38" s="107"/>
      <c r="E38" s="424"/>
      <c r="F38" s="424"/>
      <c r="G38" s="424"/>
      <c r="H38" s="424"/>
      <c r="I38" s="424"/>
      <c r="J38" s="424"/>
      <c r="K38" s="424"/>
      <c r="L38" s="9"/>
      <c r="M38" s="9"/>
    </row>
    <row r="39" spans="1:13" x14ac:dyDescent="0.2">
      <c r="A39" s="9"/>
      <c r="B39" s="9"/>
      <c r="C39" s="9"/>
      <c r="D39" s="107"/>
      <c r="E39" s="424"/>
      <c r="F39" s="424"/>
      <c r="G39" s="424"/>
      <c r="H39" s="424"/>
      <c r="I39" s="424"/>
      <c r="J39" s="424"/>
      <c r="K39" s="424"/>
      <c r="L39" s="9"/>
      <c r="M39" s="9"/>
    </row>
    <row r="40" spans="1:13" x14ac:dyDescent="0.2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13" x14ac:dyDescent="0.2">
      <c r="A41" s="9"/>
      <c r="B41" s="9"/>
      <c r="C41" s="9"/>
      <c r="D41" s="9"/>
      <c r="E41" s="421" t="s">
        <v>656</v>
      </c>
      <c r="F41" s="421" t="s">
        <v>657</v>
      </c>
      <c r="G41" s="421" t="s">
        <v>658</v>
      </c>
      <c r="H41" s="421" t="s">
        <v>659</v>
      </c>
      <c r="I41" s="421" t="s">
        <v>660</v>
      </c>
      <c r="J41" s="421" t="s">
        <v>661</v>
      </c>
      <c r="K41" s="421" t="s">
        <v>662</v>
      </c>
      <c r="L41" s="9"/>
      <c r="M41" s="9"/>
    </row>
    <row r="42" spans="1:13" x14ac:dyDescent="0.2">
      <c r="A42" s="9"/>
      <c r="B42" s="9"/>
      <c r="C42" s="9"/>
      <c r="D42" s="9"/>
      <c r="E42" s="425"/>
      <c r="F42" s="425"/>
      <c r="G42" s="425"/>
      <c r="H42" s="425"/>
      <c r="I42" s="425"/>
      <c r="J42" s="425"/>
      <c r="K42" s="425"/>
      <c r="L42" s="9"/>
      <c r="M42" s="9"/>
    </row>
    <row r="43" spans="1:13" x14ac:dyDescent="0.2">
      <c r="A43" s="9"/>
      <c r="B43" s="9"/>
      <c r="C43" s="17" t="s">
        <v>51</v>
      </c>
      <c r="D43" s="51" t="s">
        <v>1</v>
      </c>
      <c r="E43" s="13">
        <f t="shared" ref="E43:K43" si="0">AVERAGE(E9:E16)</f>
        <v>0.70750000000000002</v>
      </c>
      <c r="F43" s="13">
        <f t="shared" si="0"/>
        <v>0.79749999999999999</v>
      </c>
      <c r="G43" s="13">
        <f t="shared" si="0"/>
        <v>0.86125000000000007</v>
      </c>
      <c r="H43" s="13">
        <f t="shared" si="0"/>
        <v>0.95125000000000004</v>
      </c>
      <c r="I43" s="13">
        <f t="shared" si="0"/>
        <v>1.0575000000000001</v>
      </c>
      <c r="J43" s="13">
        <f t="shared" si="0"/>
        <v>1.1575000000000002</v>
      </c>
      <c r="K43" s="13">
        <f t="shared" si="0"/>
        <v>1.3149999999999999</v>
      </c>
      <c r="L43" s="9"/>
      <c r="M43" s="9"/>
    </row>
    <row r="44" spans="1:13" x14ac:dyDescent="0.2">
      <c r="A44" s="9"/>
      <c r="B44" s="9"/>
      <c r="C44" s="9"/>
      <c r="D44" s="51" t="s">
        <v>2</v>
      </c>
      <c r="E44" s="13">
        <f t="shared" ref="E44:K44" si="1">AVERAGE(E20:E22)</f>
        <v>0.38999999999999996</v>
      </c>
      <c r="F44" s="13">
        <f t="shared" si="1"/>
        <v>0.4366666666666667</v>
      </c>
      <c r="G44" s="13">
        <f t="shared" si="1"/>
        <v>0.41333333333333333</v>
      </c>
      <c r="H44" s="13">
        <f t="shared" si="1"/>
        <v>0.34666666666666668</v>
      </c>
      <c r="I44" s="13">
        <f t="shared" si="1"/>
        <v>0.33333333333333331</v>
      </c>
      <c r="J44" s="13">
        <f t="shared" si="1"/>
        <v>0.19999999999999998</v>
      </c>
      <c r="K44" s="13">
        <f t="shared" si="1"/>
        <v>0.16</v>
      </c>
      <c r="L44" s="9"/>
      <c r="M44" s="9"/>
    </row>
    <row r="45" spans="1:13" x14ac:dyDescent="0.2">
      <c r="A45" s="9"/>
      <c r="B45" s="9"/>
      <c r="C45" s="9"/>
      <c r="D45" s="51" t="s">
        <v>3</v>
      </c>
      <c r="E45" s="13">
        <f t="shared" ref="E45:K45" si="2">AVERAGE(E26:E28)</f>
        <v>0.38666666666666671</v>
      </c>
      <c r="F45" s="13">
        <f t="shared" si="2"/>
        <v>0.42666666666666669</v>
      </c>
      <c r="G45" s="13">
        <f t="shared" si="2"/>
        <v>0.39666666666666667</v>
      </c>
      <c r="H45" s="13">
        <f t="shared" si="2"/>
        <v>0.38333333333333336</v>
      </c>
      <c r="I45" s="13">
        <f t="shared" si="2"/>
        <v>0.32</v>
      </c>
      <c r="J45" s="13">
        <f t="shared" si="2"/>
        <v>0.27666666666666667</v>
      </c>
      <c r="K45" s="13">
        <f t="shared" si="2"/>
        <v>0.21999999999999997</v>
      </c>
      <c r="L45" s="9"/>
      <c r="M45" s="9"/>
    </row>
    <row r="46" spans="1:13" x14ac:dyDescent="0.2">
      <c r="A46" s="9"/>
      <c r="B46" s="9"/>
      <c r="C46" s="9"/>
      <c r="D46" s="51" t="s">
        <v>4</v>
      </c>
      <c r="E46" s="13">
        <f>AVERAGE(E32:E37)</f>
        <v>0.38666666666666666</v>
      </c>
      <c r="F46" s="13">
        <f t="shared" ref="F46:K46" si="3">AVERAGE(F32:F37)</f>
        <v>0.39500000000000002</v>
      </c>
      <c r="G46" s="13">
        <f t="shared" si="3"/>
        <v>0.41833333333333339</v>
      </c>
      <c r="H46" s="13">
        <f t="shared" si="3"/>
        <v>0.34500000000000003</v>
      </c>
      <c r="I46" s="13">
        <f t="shared" si="3"/>
        <v>0.29499999999999998</v>
      </c>
      <c r="J46" s="13">
        <f t="shared" si="3"/>
        <v>0.19333333333333333</v>
      </c>
      <c r="K46" s="13">
        <f t="shared" si="3"/>
        <v>0.14333333333333334</v>
      </c>
      <c r="L46" s="9"/>
      <c r="M46" s="9"/>
    </row>
    <row r="47" spans="1:13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13" x14ac:dyDescent="0.2">
      <c r="A48" s="9"/>
      <c r="B48" s="9"/>
      <c r="C48" s="17" t="s">
        <v>13</v>
      </c>
      <c r="D48" s="51" t="s">
        <v>1</v>
      </c>
      <c r="E48" s="13">
        <f t="shared" ref="E48:K48" si="4">STDEV(E9:E16)</f>
        <v>0.23741163769766149</v>
      </c>
      <c r="F48" s="13">
        <f t="shared" si="4"/>
        <v>0.25800055370926195</v>
      </c>
      <c r="G48" s="13">
        <f t="shared" si="4"/>
        <v>0.32721497957328122</v>
      </c>
      <c r="H48" s="13">
        <f t="shared" si="4"/>
        <v>0.39186140042476392</v>
      </c>
      <c r="I48" s="13">
        <f t="shared" si="4"/>
        <v>0.42667317703366331</v>
      </c>
      <c r="J48" s="13">
        <f t="shared" si="4"/>
        <v>0.43265789850973085</v>
      </c>
      <c r="K48" s="13">
        <f t="shared" si="4"/>
        <v>0.5485305044258838</v>
      </c>
      <c r="L48" s="9"/>
      <c r="M48" s="9"/>
    </row>
    <row r="49" spans="1:27" x14ac:dyDescent="0.2">
      <c r="A49" s="9"/>
      <c r="B49" s="9"/>
      <c r="C49" s="9"/>
      <c r="D49" s="51" t="s">
        <v>2</v>
      </c>
      <c r="E49" s="13">
        <f t="shared" ref="E49:K49" si="5">STDEV(E20:E22)</f>
        <v>2.6457513110645908E-2</v>
      </c>
      <c r="F49" s="13">
        <f t="shared" si="5"/>
        <v>5.507570547286051E-2</v>
      </c>
      <c r="G49" s="13">
        <f t="shared" si="5"/>
        <v>4.9328828623162457E-2</v>
      </c>
      <c r="H49" s="13">
        <f t="shared" si="5"/>
        <v>4.163331998932266E-2</v>
      </c>
      <c r="I49" s="13">
        <f t="shared" si="5"/>
        <v>3.5118845842842465E-2</v>
      </c>
      <c r="J49" s="13">
        <f t="shared" si="5"/>
        <v>4.3588989435406726E-2</v>
      </c>
      <c r="K49" s="13">
        <f t="shared" si="5"/>
        <v>1.7320508075688773E-2</v>
      </c>
      <c r="L49" s="9"/>
      <c r="M49" s="9"/>
    </row>
    <row r="50" spans="1:27" x14ac:dyDescent="0.2">
      <c r="A50" s="9"/>
      <c r="B50" s="9"/>
      <c r="C50" s="9"/>
      <c r="D50" s="51" t="s">
        <v>3</v>
      </c>
      <c r="E50" s="13">
        <f t="shared" ref="E50:K50" si="6">STDEV(E26:E28)</f>
        <v>1.1547005383792525E-2</v>
      </c>
      <c r="F50" s="13">
        <f t="shared" si="6"/>
        <v>7.23417813807022E-2</v>
      </c>
      <c r="G50" s="13">
        <f t="shared" si="6"/>
        <v>6.350852961085883E-2</v>
      </c>
      <c r="H50" s="13">
        <f t="shared" si="6"/>
        <v>7.5055534994651285E-2</v>
      </c>
      <c r="I50" s="13">
        <f t="shared" si="6"/>
        <v>5.291502622129178E-2</v>
      </c>
      <c r="J50" s="13">
        <f t="shared" si="6"/>
        <v>6.4291005073286389E-2</v>
      </c>
      <c r="K50" s="13">
        <f t="shared" si="6"/>
        <v>4.0000000000000223E-2</v>
      </c>
      <c r="L50" s="9"/>
      <c r="M50" s="9"/>
    </row>
    <row r="51" spans="1:27" x14ac:dyDescent="0.2">
      <c r="A51" s="9"/>
      <c r="B51" s="9"/>
      <c r="C51" s="9"/>
      <c r="D51" s="51" t="s">
        <v>4</v>
      </c>
      <c r="E51" s="13">
        <f>STDEV(E32:E37)</f>
        <v>2.7325202042558928E-2</v>
      </c>
      <c r="F51" s="13">
        <f t="shared" ref="F51:K51" si="7">STDEV(F32:F37)</f>
        <v>7.7910204723129803E-2</v>
      </c>
      <c r="G51" s="13">
        <f t="shared" si="7"/>
        <v>9.3470137833784189E-2</v>
      </c>
      <c r="H51" s="13">
        <f t="shared" si="7"/>
        <v>7.8166488983450882E-2</v>
      </c>
      <c r="I51" s="13">
        <f t="shared" si="7"/>
        <v>6.5038450166036404E-2</v>
      </c>
      <c r="J51" s="13">
        <f t="shared" si="7"/>
        <v>4.6761807778000583E-2</v>
      </c>
      <c r="K51" s="13">
        <f t="shared" si="7"/>
        <v>4.0331955899344442E-2</v>
      </c>
      <c r="L51" s="9"/>
      <c r="M51" s="9"/>
    </row>
    <row r="52" spans="1:27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27" x14ac:dyDescent="0.2">
      <c r="A53" s="9"/>
      <c r="B53" s="9"/>
      <c r="C53" s="17" t="s">
        <v>14</v>
      </c>
      <c r="D53" s="51" t="s">
        <v>1</v>
      </c>
      <c r="E53" s="13">
        <f>E48/SQRT(8)</f>
        <v>8.3937689474310101E-2</v>
      </c>
      <c r="F53" s="13">
        <f t="shared" ref="F53:K53" si="8">F48/SQRT(8)</f>
        <v>9.1216970538851583E-2</v>
      </c>
      <c r="G53" s="13">
        <f t="shared" si="8"/>
        <v>0.11568796548104238</v>
      </c>
      <c r="H53" s="13">
        <f t="shared" si="8"/>
        <v>0.1385439267628038</v>
      </c>
      <c r="I53" s="13">
        <f t="shared" si="8"/>
        <v>0.15085174841545579</v>
      </c>
      <c r="J53" s="13">
        <f t="shared" si="8"/>
        <v>0.15296766698507586</v>
      </c>
      <c r="K53" s="13">
        <f t="shared" si="8"/>
        <v>0.19393481968360995</v>
      </c>
      <c r="L53" s="9"/>
      <c r="M53" s="9"/>
    </row>
    <row r="54" spans="1:27" x14ac:dyDescent="0.2">
      <c r="A54" s="9"/>
      <c r="B54" s="9"/>
      <c r="C54" s="9"/>
      <c r="D54" s="17" t="s">
        <v>2</v>
      </c>
      <c r="E54" s="13">
        <f>E49/SQRT(3)</f>
        <v>1.5275252316519468E-2</v>
      </c>
      <c r="F54" s="13">
        <f t="shared" ref="F54:K55" si="9">F49/SQRT(3)</f>
        <v>3.1797973380564559E-2</v>
      </c>
      <c r="G54" s="13">
        <f t="shared" si="9"/>
        <v>2.8480012484391762E-2</v>
      </c>
      <c r="H54" s="13">
        <f t="shared" si="9"/>
        <v>2.4037008503093267E-2</v>
      </c>
      <c r="I54" s="13">
        <f t="shared" si="9"/>
        <v>2.027587510099407E-2</v>
      </c>
      <c r="J54" s="13">
        <f t="shared" si="9"/>
        <v>2.5166114784235829E-2</v>
      </c>
      <c r="K54" s="13">
        <f t="shared" si="9"/>
        <v>0.01</v>
      </c>
      <c r="L54" s="9"/>
      <c r="M54" s="9"/>
    </row>
    <row r="55" spans="1:27" x14ac:dyDescent="0.2">
      <c r="A55" s="9"/>
      <c r="B55" s="9"/>
      <c r="C55" s="9"/>
      <c r="D55" s="55" t="s">
        <v>3</v>
      </c>
      <c r="E55" s="13">
        <f>E50/SQRT(3)</f>
        <v>6.6666666666666723E-3</v>
      </c>
      <c r="F55" s="13">
        <f t="shared" si="9"/>
        <v>4.1766546953805474E-2</v>
      </c>
      <c r="G55" s="13">
        <f t="shared" si="9"/>
        <v>3.6666666666666667E-2</v>
      </c>
      <c r="H55" s="13">
        <f t="shared" si="9"/>
        <v>4.33333333333333E-2</v>
      </c>
      <c r="I55" s="13">
        <f t="shared" si="9"/>
        <v>3.0550504633038916E-2</v>
      </c>
      <c r="J55" s="13">
        <f t="shared" si="9"/>
        <v>3.7118429085533491E-2</v>
      </c>
      <c r="K55" s="13">
        <f t="shared" si="9"/>
        <v>2.309401076758516E-2</v>
      </c>
      <c r="L55" s="9"/>
      <c r="M55" s="9"/>
    </row>
    <row r="56" spans="1:27" x14ac:dyDescent="0.2">
      <c r="A56" s="9"/>
      <c r="B56" s="9"/>
      <c r="C56" s="9"/>
      <c r="D56" s="51" t="s">
        <v>4</v>
      </c>
      <c r="E56" s="13">
        <f>E51/SQRT(6)</f>
        <v>1.1155467020454342E-2</v>
      </c>
      <c r="F56" s="13">
        <f t="shared" ref="F56:K56" si="10">F51/SQRT(6)</f>
        <v>3.1806707887907328E-2</v>
      </c>
      <c r="G56" s="13">
        <f t="shared" si="10"/>
        <v>3.8159023980064044E-2</v>
      </c>
      <c r="H56" s="13">
        <f t="shared" si="10"/>
        <v>3.1911335499056205E-2</v>
      </c>
      <c r="I56" s="13">
        <f t="shared" si="10"/>
        <v>2.6551836094703511E-2</v>
      </c>
      <c r="J56" s="13">
        <f t="shared" si="10"/>
        <v>1.9090428084368512E-2</v>
      </c>
      <c r="K56" s="13">
        <f t="shared" si="10"/>
        <v>1.6465452046971283E-2</v>
      </c>
      <c r="L56" s="9"/>
      <c r="M56" s="9"/>
    </row>
    <row r="57" spans="1:27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</row>
    <row r="58" spans="1:27" x14ac:dyDescent="0.2">
      <c r="A58" s="9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</row>
    <row r="59" spans="1:27" ht="18" x14ac:dyDescent="0.2">
      <c r="A59" s="9"/>
      <c r="B59" s="426" t="s">
        <v>52</v>
      </c>
      <c r="C59" s="20"/>
      <c r="D59" s="20"/>
      <c r="E59" s="42"/>
      <c r="F59" s="42"/>
      <c r="G59" s="42"/>
      <c r="H59" s="42"/>
      <c r="I59" s="427"/>
      <c r="J59" s="42"/>
      <c r="K59" s="42"/>
      <c r="L59" s="42"/>
      <c r="M59" s="42"/>
      <c r="N59" s="66"/>
      <c r="O59" s="80"/>
      <c r="P59" s="42"/>
      <c r="Q59" s="42"/>
      <c r="R59" s="42"/>
      <c r="S59" s="42"/>
      <c r="T59" s="66"/>
      <c r="U59" s="66"/>
      <c r="V59" s="66"/>
      <c r="W59" s="66"/>
      <c r="X59" s="66"/>
      <c r="Y59" s="66"/>
      <c r="Z59" s="66"/>
      <c r="AA59" s="66"/>
    </row>
    <row r="60" spans="1:27" x14ac:dyDescent="0.2">
      <c r="A60" s="9"/>
      <c r="B60" s="42"/>
      <c r="C60" s="137"/>
      <c r="D60" s="42"/>
      <c r="E60" s="42"/>
      <c r="F60" s="42"/>
      <c r="G60" s="42"/>
      <c r="H60" s="42"/>
      <c r="I60" s="137"/>
      <c r="J60" s="42"/>
      <c r="K60" s="42"/>
      <c r="L60" s="42"/>
      <c r="M60" s="42"/>
      <c r="N60" s="66"/>
      <c r="O60" s="137"/>
      <c r="P60" s="42"/>
      <c r="Q60" s="42"/>
      <c r="R60" s="42"/>
      <c r="S60" s="42"/>
      <c r="T60" s="66"/>
      <c r="U60" s="66"/>
      <c r="V60" s="66"/>
      <c r="W60" s="66"/>
      <c r="X60" s="66"/>
      <c r="Y60" s="66"/>
      <c r="Z60" s="66"/>
      <c r="AA60" s="66"/>
    </row>
    <row r="61" spans="1:27" x14ac:dyDescent="0.2">
      <c r="A61" s="9"/>
      <c r="B61" s="137" t="s">
        <v>1068</v>
      </c>
      <c r="C61" s="2" t="s">
        <v>1069</v>
      </c>
      <c r="D61" s="1"/>
      <c r="E61" s="1"/>
      <c r="F61" s="1"/>
      <c r="G61" s="1"/>
      <c r="H61" s="1"/>
      <c r="I61" s="131"/>
      <c r="J61" s="42"/>
      <c r="K61" s="2"/>
      <c r="L61" s="1"/>
      <c r="M61" s="1"/>
      <c r="N61" s="1"/>
      <c r="O61" s="1"/>
      <c r="P61" s="1"/>
      <c r="Q61" s="42"/>
      <c r="R61" s="49"/>
      <c r="S61" s="42"/>
      <c r="T61" s="66"/>
      <c r="U61" s="66"/>
      <c r="V61" s="66"/>
      <c r="W61" s="66"/>
      <c r="X61" s="66"/>
      <c r="Y61" s="66"/>
      <c r="Z61" s="66"/>
      <c r="AA61" s="66"/>
    </row>
    <row r="62" spans="1:27" x14ac:dyDescent="0.2">
      <c r="A62" s="9"/>
      <c r="B62" s="42" t="s">
        <v>1070</v>
      </c>
      <c r="C62" s="2" t="s">
        <v>49</v>
      </c>
      <c r="D62" s="1"/>
      <c r="E62" s="1"/>
      <c r="F62" s="1"/>
      <c r="G62" s="1"/>
      <c r="H62" s="1"/>
      <c r="I62" s="131"/>
      <c r="J62" s="42"/>
      <c r="K62" s="9"/>
      <c r="L62" s="9"/>
      <c r="M62" s="9"/>
      <c r="Q62" s="42"/>
      <c r="R62" s="50"/>
      <c r="S62" s="42"/>
      <c r="T62" s="66"/>
      <c r="U62" s="66"/>
      <c r="V62" s="66"/>
      <c r="W62" s="66"/>
      <c r="X62" s="66"/>
      <c r="Y62" s="66"/>
      <c r="Z62" s="66"/>
      <c r="AA62" s="66"/>
    </row>
    <row r="63" spans="1:27" x14ac:dyDescent="0.2">
      <c r="A63" s="9"/>
      <c r="B63" s="42" t="s">
        <v>666</v>
      </c>
      <c r="C63" s="2">
        <v>0.05</v>
      </c>
      <c r="D63" s="1"/>
      <c r="E63" s="1"/>
      <c r="F63" s="1"/>
      <c r="G63" s="1"/>
      <c r="H63" s="1"/>
      <c r="I63" s="131"/>
      <c r="J63" s="42"/>
      <c r="K63" s="9"/>
      <c r="L63" s="9"/>
      <c r="M63" s="9"/>
      <c r="Q63" s="42"/>
      <c r="R63" s="50"/>
      <c r="S63" s="42"/>
      <c r="T63" s="66"/>
      <c r="U63" s="66"/>
      <c r="V63" s="66"/>
      <c r="W63" s="66"/>
      <c r="X63" s="66"/>
      <c r="Y63" s="66"/>
      <c r="Z63" s="66"/>
      <c r="AA63" s="66"/>
    </row>
    <row r="64" spans="1:27" x14ac:dyDescent="0.2">
      <c r="A64" s="9"/>
      <c r="B64" s="42"/>
      <c r="C64" s="2"/>
      <c r="D64" s="1"/>
      <c r="E64" s="1"/>
      <c r="F64" s="1"/>
      <c r="G64" s="1"/>
      <c r="H64" s="1"/>
      <c r="I64" s="131"/>
      <c r="J64" s="42"/>
      <c r="K64" s="9"/>
      <c r="L64" s="9"/>
      <c r="M64" s="9"/>
      <c r="Q64" s="42"/>
      <c r="R64" s="49"/>
      <c r="S64" s="42"/>
      <c r="T64" s="66"/>
      <c r="U64" s="66"/>
      <c r="V64" s="66"/>
      <c r="W64" s="66"/>
      <c r="X64" s="66"/>
      <c r="Y64" s="66"/>
      <c r="Z64" s="66"/>
      <c r="AA64" s="66"/>
    </row>
    <row r="65" spans="1:27" x14ac:dyDescent="0.2">
      <c r="A65" s="9"/>
      <c r="B65" s="42" t="s">
        <v>69</v>
      </c>
      <c r="C65" s="2" t="s">
        <v>70</v>
      </c>
      <c r="D65" s="1" t="s">
        <v>36</v>
      </c>
      <c r="E65" s="1" t="s">
        <v>37</v>
      </c>
      <c r="F65" s="1" t="s">
        <v>47</v>
      </c>
      <c r="G65" s="1" t="s">
        <v>38</v>
      </c>
      <c r="H65" s="1"/>
      <c r="I65" s="42"/>
      <c r="J65" s="42"/>
      <c r="K65" s="9"/>
      <c r="L65" s="9"/>
      <c r="M65" s="9"/>
      <c r="Q65" s="42"/>
      <c r="R65" s="42"/>
      <c r="S65" s="42"/>
      <c r="T65" s="66"/>
      <c r="U65" s="66"/>
      <c r="V65" s="66"/>
      <c r="W65" s="66"/>
      <c r="X65" s="66"/>
      <c r="Y65" s="66"/>
      <c r="Z65" s="66"/>
      <c r="AA65" s="66"/>
    </row>
    <row r="66" spans="1:27" x14ac:dyDescent="0.2">
      <c r="A66" s="9"/>
      <c r="B66" s="42" t="s">
        <v>43</v>
      </c>
      <c r="C66" s="2">
        <v>11.19</v>
      </c>
      <c r="D66" s="2" t="s">
        <v>176</v>
      </c>
      <c r="E66" s="1" t="s">
        <v>10</v>
      </c>
      <c r="F66" s="1" t="s">
        <v>41</v>
      </c>
      <c r="G66" s="1"/>
      <c r="H66" s="1"/>
      <c r="I66" s="42"/>
      <c r="J66" s="42"/>
      <c r="K66" s="9"/>
      <c r="L66" s="9"/>
      <c r="M66" s="9"/>
      <c r="Q66" s="42"/>
      <c r="R66" s="42"/>
      <c r="S66" s="42"/>
      <c r="T66" s="66"/>
      <c r="U66" s="66"/>
      <c r="V66" s="66"/>
      <c r="W66" s="66"/>
      <c r="X66" s="66"/>
      <c r="Y66" s="66"/>
      <c r="Z66" s="66"/>
      <c r="AA66" s="66"/>
    </row>
    <row r="67" spans="1:27" x14ac:dyDescent="0.2">
      <c r="A67" s="9"/>
      <c r="B67" s="42" t="s">
        <v>39</v>
      </c>
      <c r="C67" s="2">
        <v>0.38040000000000002</v>
      </c>
      <c r="D67" s="2">
        <v>0.28789999999999999</v>
      </c>
      <c r="E67" s="1" t="s">
        <v>9</v>
      </c>
      <c r="F67" s="1" t="s">
        <v>49</v>
      </c>
      <c r="G67" s="1">
        <v>0.32650000000000001</v>
      </c>
      <c r="H67" s="1"/>
      <c r="I67" s="130"/>
      <c r="J67" s="42"/>
      <c r="K67" s="9"/>
      <c r="L67" s="9"/>
      <c r="M67" s="9"/>
      <c r="Q67" s="131"/>
      <c r="R67" s="49"/>
      <c r="S67" s="49"/>
      <c r="T67" s="66"/>
      <c r="U67" s="66"/>
      <c r="V67" s="66"/>
      <c r="W67" s="66"/>
      <c r="X67" s="66"/>
      <c r="Y67" s="66"/>
      <c r="Z67" s="66"/>
      <c r="AA67" s="66"/>
    </row>
    <row r="68" spans="1:27" x14ac:dyDescent="0.2">
      <c r="A68" s="9"/>
      <c r="B68" s="42" t="s">
        <v>42</v>
      </c>
      <c r="C68" s="2">
        <v>57.56</v>
      </c>
      <c r="D68" s="2">
        <v>2.0000000000000001E-4</v>
      </c>
      <c r="E68" s="1" t="s">
        <v>10</v>
      </c>
      <c r="F68" s="1" t="s">
        <v>41</v>
      </c>
      <c r="G68" s="1"/>
      <c r="H68" s="1"/>
      <c r="I68" s="42"/>
      <c r="J68" s="136"/>
      <c r="K68" s="9"/>
      <c r="L68" s="9"/>
      <c r="M68" s="9"/>
      <c r="Q68" s="136"/>
      <c r="R68" s="136"/>
      <c r="S68" s="136"/>
      <c r="T68" s="66"/>
      <c r="U68" s="66"/>
      <c r="V68" s="66"/>
      <c r="W68" s="66"/>
      <c r="X68" s="66"/>
      <c r="Y68" s="66"/>
      <c r="Z68" s="66"/>
      <c r="AA68" s="66"/>
    </row>
    <row r="69" spans="1:27" x14ac:dyDescent="0.2">
      <c r="A69" s="9"/>
      <c r="B69" s="42" t="s">
        <v>71</v>
      </c>
      <c r="C69" s="2">
        <v>25.94</v>
      </c>
      <c r="D69" s="2" t="s">
        <v>176</v>
      </c>
      <c r="E69" s="1" t="s">
        <v>10</v>
      </c>
      <c r="F69" s="1" t="s">
        <v>41</v>
      </c>
      <c r="G69" s="1"/>
      <c r="H69" s="1"/>
      <c r="I69" s="131"/>
      <c r="J69" s="49"/>
      <c r="K69" s="9"/>
      <c r="L69" s="9"/>
      <c r="M69" s="9"/>
      <c r="Q69" s="66"/>
      <c r="R69" s="49"/>
      <c r="S69" s="49"/>
      <c r="T69" s="66"/>
      <c r="U69" s="66"/>
      <c r="V69" s="66"/>
      <c r="W69" s="66"/>
      <c r="X69" s="66"/>
      <c r="Y69" s="66"/>
      <c r="Z69" s="66"/>
      <c r="AA69" s="66"/>
    </row>
    <row r="70" spans="1:27" x14ac:dyDescent="0.2">
      <c r="A70" s="9"/>
      <c r="B70" s="42"/>
      <c r="C70" s="2"/>
      <c r="D70" s="1"/>
      <c r="E70" s="1"/>
      <c r="F70" s="1"/>
      <c r="G70" s="1"/>
      <c r="H70" s="1"/>
      <c r="I70" s="131"/>
      <c r="J70" s="49"/>
      <c r="K70" s="9"/>
      <c r="L70" s="9"/>
      <c r="M70" s="9"/>
      <c r="Q70" s="180"/>
      <c r="R70" s="49"/>
      <c r="S70" s="49"/>
      <c r="T70" s="66"/>
      <c r="U70" s="66"/>
      <c r="V70" s="66"/>
      <c r="W70" s="66"/>
      <c r="X70" s="66"/>
      <c r="Y70" s="66"/>
      <c r="Z70" s="66"/>
      <c r="AA70" s="66"/>
    </row>
    <row r="71" spans="1:27" x14ac:dyDescent="0.2">
      <c r="A71" s="9"/>
      <c r="B71" s="42" t="s">
        <v>669</v>
      </c>
      <c r="C71" s="2" t="s">
        <v>1071</v>
      </c>
      <c r="D71" s="1" t="s">
        <v>671</v>
      </c>
      <c r="E71" s="1" t="s">
        <v>672</v>
      </c>
      <c r="F71" s="1" t="s">
        <v>577</v>
      </c>
      <c r="G71" s="1" t="s">
        <v>36</v>
      </c>
      <c r="H71" s="1"/>
      <c r="I71" s="131"/>
      <c r="J71" s="49"/>
      <c r="K71" s="9"/>
      <c r="L71" s="9"/>
      <c r="M71" s="9"/>
      <c r="Q71" s="49"/>
      <c r="R71" s="49"/>
      <c r="S71" s="49"/>
      <c r="T71" s="66"/>
      <c r="U71" s="66"/>
      <c r="V71" s="66"/>
      <c r="W71" s="66"/>
      <c r="X71" s="66"/>
      <c r="Y71" s="66"/>
      <c r="Z71" s="66"/>
      <c r="AA71" s="66"/>
    </row>
    <row r="72" spans="1:27" x14ac:dyDescent="0.2">
      <c r="A72" s="9"/>
      <c r="B72" s="42" t="s">
        <v>43</v>
      </c>
      <c r="C72" s="2">
        <v>2.7770000000000001</v>
      </c>
      <c r="D72" s="1">
        <v>18</v>
      </c>
      <c r="E72" s="1">
        <v>0.15429999999999999</v>
      </c>
      <c r="F72" s="1" t="s">
        <v>1072</v>
      </c>
      <c r="G72" s="1" t="s">
        <v>673</v>
      </c>
      <c r="H72" s="1"/>
      <c r="I72" s="131"/>
      <c r="J72" s="49"/>
      <c r="K72" s="49"/>
      <c r="L72" s="49"/>
      <c r="M72" s="49"/>
      <c r="N72" s="66"/>
      <c r="O72" s="131"/>
      <c r="P72" s="49"/>
      <c r="Q72" s="49"/>
      <c r="R72" s="49"/>
      <c r="S72" s="49"/>
      <c r="T72" s="66"/>
      <c r="U72" s="66"/>
      <c r="V72" s="66"/>
      <c r="W72" s="66"/>
      <c r="X72" s="66"/>
      <c r="Y72" s="66"/>
      <c r="Z72" s="66"/>
      <c r="AA72" s="66"/>
    </row>
    <row r="73" spans="1:27" x14ac:dyDescent="0.2">
      <c r="A73" s="9"/>
      <c r="B73" s="42" t="s">
        <v>39</v>
      </c>
      <c r="C73" s="2">
        <v>9.4439999999999996E-2</v>
      </c>
      <c r="D73" s="1">
        <v>6</v>
      </c>
      <c r="E73" s="1">
        <v>1.5740000000000001E-2</v>
      </c>
      <c r="F73" s="1" t="s">
        <v>1073</v>
      </c>
      <c r="G73" s="1" t="s">
        <v>1074</v>
      </c>
      <c r="H73" s="1"/>
      <c r="I73" s="131"/>
      <c r="J73" s="49"/>
      <c r="K73" s="49"/>
      <c r="L73" s="49"/>
      <c r="M73" s="49"/>
      <c r="N73" s="66"/>
      <c r="O73" s="131"/>
      <c r="P73" s="49"/>
      <c r="Q73" s="49"/>
      <c r="R73" s="49"/>
      <c r="S73" s="49"/>
      <c r="T73" s="66"/>
      <c r="U73" s="66"/>
      <c r="V73" s="66"/>
      <c r="W73" s="66"/>
      <c r="X73" s="66"/>
      <c r="Y73" s="66"/>
      <c r="Z73" s="66"/>
      <c r="AA73" s="66"/>
    </row>
    <row r="74" spans="1:27" x14ac:dyDescent="0.2">
      <c r="A74" s="9"/>
      <c r="B74" s="42" t="s">
        <v>42</v>
      </c>
      <c r="C74" s="2">
        <v>14.29</v>
      </c>
      <c r="D74" s="1">
        <v>3</v>
      </c>
      <c r="E74" s="1">
        <v>4.7629999999999999</v>
      </c>
      <c r="F74" s="1" t="s">
        <v>1075</v>
      </c>
      <c r="G74" s="1" t="s">
        <v>967</v>
      </c>
      <c r="H74" s="1"/>
      <c r="I74" s="16"/>
      <c r="J74" s="1"/>
      <c r="K74" s="3"/>
      <c r="L74" s="16"/>
      <c r="M74" s="16"/>
      <c r="N74" s="16"/>
      <c r="O74" s="16"/>
      <c r="P74" s="16"/>
      <c r="Q74" s="16"/>
      <c r="R74" s="1"/>
      <c r="S74" s="1"/>
      <c r="T74" s="66"/>
      <c r="U74" s="66"/>
      <c r="V74" s="66"/>
      <c r="W74" s="66"/>
      <c r="X74" s="66"/>
      <c r="Y74" s="66"/>
      <c r="Z74" s="66"/>
      <c r="AA74" s="66"/>
    </row>
    <row r="75" spans="1:27" x14ac:dyDescent="0.2">
      <c r="A75" s="9"/>
      <c r="B75" s="42" t="s">
        <v>71</v>
      </c>
      <c r="C75" s="2">
        <v>6.44</v>
      </c>
      <c r="D75" s="1">
        <v>16</v>
      </c>
      <c r="E75" s="1">
        <v>0.40250000000000002</v>
      </c>
      <c r="F75" s="1" t="s">
        <v>1076</v>
      </c>
      <c r="G75" s="1" t="s">
        <v>673</v>
      </c>
      <c r="H75" s="1"/>
      <c r="I75" s="1"/>
      <c r="J75" s="1"/>
      <c r="K75" s="2"/>
      <c r="L75" s="1"/>
      <c r="M75" s="1"/>
      <c r="N75" s="1"/>
      <c r="O75" s="1"/>
      <c r="P75" s="1"/>
      <c r="Q75" s="1"/>
      <c r="R75" s="1"/>
      <c r="S75" s="1"/>
      <c r="T75" s="66"/>
      <c r="U75" s="66"/>
      <c r="V75" s="66"/>
      <c r="W75" s="66"/>
      <c r="X75" s="66"/>
      <c r="Y75" s="66"/>
      <c r="Z75" s="66"/>
      <c r="AA75" s="66"/>
    </row>
    <row r="76" spans="1:27" x14ac:dyDescent="0.2">
      <c r="A76" s="9"/>
      <c r="B76" s="42" t="s">
        <v>674</v>
      </c>
      <c r="C76" s="2">
        <v>1.1679999999999999</v>
      </c>
      <c r="D76" s="1">
        <v>96</v>
      </c>
      <c r="E76" s="1">
        <v>1.2160000000000001E-2</v>
      </c>
      <c r="F76" s="1"/>
      <c r="G76" s="1"/>
      <c r="H76" s="1"/>
      <c r="I76" s="1"/>
      <c r="J76" s="1"/>
      <c r="K76" s="2"/>
      <c r="L76" s="1"/>
      <c r="M76" s="1"/>
      <c r="N76" s="1"/>
      <c r="O76" s="1"/>
      <c r="P76" s="1"/>
      <c r="Q76" s="1"/>
      <c r="R76" s="1"/>
      <c r="S76" s="1"/>
      <c r="T76" s="66"/>
      <c r="U76" s="66"/>
      <c r="V76" s="66"/>
      <c r="W76" s="66"/>
      <c r="X76" s="66"/>
      <c r="Y76" s="66"/>
      <c r="Z76" s="66"/>
      <c r="AA76" s="66"/>
    </row>
    <row r="77" spans="1:27" x14ac:dyDescent="0.2">
      <c r="A77" s="9"/>
      <c r="B77" s="42"/>
      <c r="C77" s="2"/>
      <c r="D77" s="1"/>
      <c r="E77" s="1"/>
      <c r="F77" s="1"/>
      <c r="G77" s="1"/>
      <c r="H77" s="1"/>
      <c r="I77" s="1"/>
      <c r="J77" s="1"/>
      <c r="K77" s="2"/>
      <c r="L77" s="1"/>
      <c r="M77" s="1"/>
      <c r="N77" s="1"/>
      <c r="O77" s="1"/>
      <c r="P77" s="1"/>
      <c r="Q77" s="1"/>
      <c r="R77" s="1"/>
      <c r="S77" s="1"/>
      <c r="T77" s="66"/>
      <c r="U77" s="66"/>
      <c r="V77" s="66"/>
      <c r="W77" s="66"/>
      <c r="X77" s="66"/>
      <c r="Y77" s="66"/>
      <c r="Z77" s="66"/>
      <c r="AA77" s="66"/>
    </row>
    <row r="78" spans="1:27" ht="18" x14ac:dyDescent="0.2">
      <c r="A78" s="9"/>
      <c r="B78" s="42" t="s">
        <v>1077</v>
      </c>
      <c r="C78" s="2"/>
      <c r="D78" s="1"/>
      <c r="E78" s="1"/>
      <c r="F78" s="1"/>
      <c r="G78" s="1"/>
      <c r="H78" s="1"/>
      <c r="I78" s="1"/>
      <c r="J78" s="1"/>
      <c r="K78" s="2"/>
      <c r="L78" s="1"/>
      <c r="M78" s="1"/>
      <c r="N78" s="1"/>
      <c r="O78" s="1"/>
      <c r="P78" s="1"/>
      <c r="Q78" s="1"/>
      <c r="R78" s="1"/>
      <c r="S78" s="1"/>
      <c r="T78" s="66"/>
      <c r="U78" s="80"/>
      <c r="V78" s="42"/>
      <c r="W78" s="42"/>
      <c r="X78" s="42"/>
      <c r="Y78" s="42"/>
      <c r="Z78" s="66"/>
      <c r="AA78" s="66"/>
    </row>
    <row r="79" spans="1:27" x14ac:dyDescent="0.2">
      <c r="A79" s="9"/>
      <c r="B79" s="42" t="s">
        <v>1078</v>
      </c>
      <c r="C79" s="2">
        <v>4</v>
      </c>
      <c r="D79" s="1"/>
      <c r="E79" s="1"/>
      <c r="F79" s="1"/>
      <c r="G79" s="1"/>
      <c r="H79" s="1"/>
      <c r="I79" s="1"/>
      <c r="J79" s="1"/>
      <c r="K79" s="2"/>
      <c r="L79" s="1"/>
      <c r="M79" s="1"/>
      <c r="N79" s="1"/>
      <c r="O79" s="1"/>
      <c r="P79" s="1"/>
      <c r="Q79" s="1"/>
      <c r="R79" s="1"/>
      <c r="S79" s="1"/>
      <c r="T79" s="66"/>
      <c r="U79" s="137"/>
      <c r="V79" s="42"/>
      <c r="W79" s="42"/>
      <c r="X79" s="42"/>
      <c r="Y79" s="42"/>
      <c r="Z79" s="66"/>
      <c r="AA79" s="66"/>
    </row>
    <row r="80" spans="1:27" x14ac:dyDescent="0.2">
      <c r="A80" s="9"/>
      <c r="B80" s="42" t="s">
        <v>1079</v>
      </c>
      <c r="C80" s="2">
        <v>7</v>
      </c>
      <c r="D80" s="1"/>
      <c r="E80" s="1"/>
      <c r="F80" s="1"/>
      <c r="G80" s="1"/>
      <c r="H80" s="1"/>
      <c r="I80" s="1"/>
      <c r="J80" s="1"/>
      <c r="K80" s="2"/>
      <c r="L80" s="1"/>
      <c r="M80" s="1"/>
      <c r="N80" s="1"/>
      <c r="O80" s="1"/>
      <c r="P80" s="1"/>
      <c r="Q80" s="1"/>
      <c r="R80" s="1"/>
      <c r="S80" s="1"/>
      <c r="T80" s="66"/>
      <c r="U80" s="173"/>
      <c r="V80" s="49"/>
      <c r="W80" s="42"/>
      <c r="X80" s="42"/>
      <c r="Y80" s="42"/>
      <c r="Z80" s="66"/>
      <c r="AA80" s="66"/>
    </row>
    <row r="81" spans="1:27" x14ac:dyDescent="0.2">
      <c r="A81" s="9"/>
      <c r="B81" s="42" t="s">
        <v>1080</v>
      </c>
      <c r="C81" s="2">
        <v>20</v>
      </c>
      <c r="D81" s="1"/>
      <c r="E81" s="1"/>
      <c r="F81" s="1"/>
      <c r="G81" s="1"/>
      <c r="H81" s="1"/>
      <c r="I81" s="1"/>
      <c r="J81" s="1"/>
      <c r="K81" s="2"/>
      <c r="L81" s="1"/>
      <c r="M81" s="1"/>
      <c r="N81" s="1"/>
      <c r="O81" s="1"/>
      <c r="P81" s="1"/>
      <c r="Q81" s="1"/>
      <c r="R81" s="1"/>
      <c r="S81" s="1"/>
      <c r="T81" s="66"/>
      <c r="U81" s="131"/>
      <c r="V81" s="42"/>
      <c r="W81" s="42"/>
      <c r="X81" s="49"/>
      <c r="Y81" s="42"/>
      <c r="Z81" s="66"/>
      <c r="AA81" s="66"/>
    </row>
    <row r="82" spans="1:27" x14ac:dyDescent="0.2">
      <c r="A82" s="9"/>
      <c r="B82" s="42" t="s">
        <v>1081</v>
      </c>
      <c r="C82" s="2">
        <v>0</v>
      </c>
      <c r="D82" s="1"/>
      <c r="E82" s="1"/>
      <c r="F82" s="1"/>
      <c r="G82" s="1"/>
      <c r="H82" s="1"/>
      <c r="I82" s="1"/>
      <c r="J82" s="1"/>
      <c r="K82" s="2"/>
      <c r="L82" s="1"/>
      <c r="M82" s="1"/>
      <c r="N82" s="1"/>
      <c r="O82" s="1"/>
      <c r="P82" s="1"/>
      <c r="Q82" s="1"/>
      <c r="R82" s="1"/>
      <c r="S82" s="1"/>
      <c r="T82" s="66"/>
      <c r="U82" s="131"/>
      <c r="V82" s="42"/>
      <c r="W82" s="42"/>
      <c r="X82" s="49"/>
      <c r="Y82" s="42"/>
      <c r="Z82" s="66"/>
      <c r="AA82" s="66"/>
    </row>
    <row r="83" spans="1:27" x14ac:dyDescent="0.2">
      <c r="A83" s="9"/>
      <c r="B83" s="42"/>
      <c r="C83" s="2"/>
      <c r="D83" s="1"/>
      <c r="E83" s="1"/>
      <c r="F83" s="1"/>
      <c r="G83" s="1"/>
      <c r="H83" s="1"/>
      <c r="I83" s="1"/>
      <c r="J83" s="1"/>
      <c r="K83" s="2"/>
      <c r="L83" s="1"/>
      <c r="M83" s="1"/>
      <c r="N83" s="1"/>
      <c r="O83" s="1"/>
      <c r="P83" s="1"/>
      <c r="Q83" s="1"/>
      <c r="R83" s="1"/>
      <c r="S83" s="1"/>
      <c r="T83" s="66"/>
      <c r="U83" s="131"/>
      <c r="V83" s="42"/>
      <c r="W83" s="42"/>
      <c r="X83" s="50"/>
      <c r="Y83" s="42"/>
      <c r="Z83" s="66"/>
      <c r="AA83" s="66"/>
    </row>
    <row r="84" spans="1:27" x14ac:dyDescent="0.2">
      <c r="A84" s="9"/>
      <c r="B84" s="42"/>
      <c r="C84" s="2"/>
      <c r="D84" s="1"/>
      <c r="E84" s="1"/>
      <c r="F84" s="1"/>
      <c r="G84" s="1"/>
      <c r="H84" s="1"/>
      <c r="I84" s="1"/>
      <c r="J84" s="1"/>
      <c r="K84" s="2"/>
      <c r="L84" s="1"/>
      <c r="M84" s="1"/>
      <c r="N84" s="1"/>
      <c r="O84" s="1"/>
      <c r="P84" s="1"/>
      <c r="Q84" s="1"/>
      <c r="R84" s="1"/>
      <c r="S84" s="1"/>
      <c r="T84" s="66"/>
      <c r="U84" s="131"/>
      <c r="V84" s="42"/>
      <c r="W84" s="42"/>
      <c r="X84" s="50"/>
      <c r="Y84" s="42"/>
      <c r="Z84" s="66"/>
      <c r="AA84" s="66"/>
    </row>
    <row r="85" spans="1:27" x14ac:dyDescent="0.2">
      <c r="A85" s="9"/>
      <c r="B85" s="9" t="s">
        <v>1082</v>
      </c>
      <c r="C85" s="115"/>
      <c r="D85" s="86"/>
      <c r="E85" s="86"/>
      <c r="F85" s="86"/>
      <c r="G85" s="86"/>
      <c r="H85" s="86"/>
      <c r="I85" s="1"/>
      <c r="J85" s="1"/>
      <c r="K85" s="2"/>
      <c r="L85" s="1"/>
      <c r="M85" s="1"/>
      <c r="N85" s="1"/>
      <c r="O85" s="1"/>
      <c r="P85" s="1"/>
      <c r="Q85" s="1"/>
      <c r="R85" s="1"/>
      <c r="S85" s="1"/>
      <c r="U85" s="2"/>
      <c r="V85" s="9"/>
      <c r="W85" s="9"/>
      <c r="X85" s="1"/>
      <c r="Y85" s="9"/>
    </row>
    <row r="86" spans="1:27" x14ac:dyDescent="0.2">
      <c r="A86" s="9"/>
      <c r="B86" s="9"/>
      <c r="C86" s="2"/>
      <c r="D86" s="1"/>
      <c r="E86" s="1"/>
      <c r="F86" s="1"/>
      <c r="G86" s="1"/>
      <c r="H86" s="1"/>
      <c r="I86" s="1"/>
      <c r="J86" s="1"/>
      <c r="K86" s="2"/>
      <c r="L86" s="1"/>
      <c r="M86" s="1"/>
      <c r="N86" s="1"/>
      <c r="O86" s="1"/>
      <c r="P86" s="1"/>
      <c r="Q86" s="1"/>
      <c r="R86" s="1"/>
      <c r="S86" s="1"/>
      <c r="U86" s="9"/>
      <c r="V86" s="9"/>
      <c r="W86" s="9"/>
      <c r="X86" s="9"/>
      <c r="Y86" s="9"/>
    </row>
    <row r="87" spans="1:27" x14ac:dyDescent="0.2">
      <c r="A87" s="9"/>
      <c r="B87" s="9" t="s">
        <v>1083</v>
      </c>
      <c r="C87" s="46">
        <v>7</v>
      </c>
      <c r="D87" s="1"/>
      <c r="E87" s="1"/>
      <c r="F87" s="1"/>
      <c r="G87" s="1"/>
      <c r="H87" s="1"/>
      <c r="I87" s="1"/>
      <c r="J87" s="1"/>
      <c r="K87" s="2"/>
      <c r="L87" s="1"/>
      <c r="M87" s="1"/>
      <c r="N87" s="1"/>
      <c r="O87" s="1"/>
      <c r="P87" s="1"/>
      <c r="Q87" s="1"/>
      <c r="R87" s="1"/>
      <c r="S87" s="1"/>
      <c r="U87" s="9"/>
      <c r="V87" s="9"/>
      <c r="W87" s="9"/>
      <c r="X87" s="9"/>
      <c r="Y87" s="9"/>
    </row>
    <row r="88" spans="1:27" x14ac:dyDescent="0.2">
      <c r="A88" s="9"/>
      <c r="B88" s="9" t="s">
        <v>1084</v>
      </c>
      <c r="C88" s="46">
        <v>3</v>
      </c>
      <c r="D88" s="1"/>
      <c r="E88" s="1"/>
      <c r="F88" s="1"/>
      <c r="G88" s="1"/>
      <c r="H88" s="1"/>
      <c r="I88" s="1"/>
      <c r="J88" s="1"/>
      <c r="K88" s="2"/>
      <c r="L88" s="1"/>
      <c r="M88" s="1"/>
      <c r="N88" s="1"/>
      <c r="O88" s="1"/>
      <c r="P88" s="1"/>
      <c r="Q88" s="1"/>
      <c r="R88" s="1"/>
      <c r="S88" s="1"/>
      <c r="U88" s="15"/>
      <c r="V88" s="9"/>
      <c r="W88" s="2"/>
      <c r="X88" s="1"/>
      <c r="Y88" s="1"/>
    </row>
    <row r="89" spans="1:27" x14ac:dyDescent="0.2">
      <c r="A89" s="9"/>
      <c r="B89" s="9" t="s">
        <v>666</v>
      </c>
      <c r="C89" s="46">
        <v>0.05</v>
      </c>
      <c r="D89" s="1"/>
      <c r="E89" s="1"/>
      <c r="F89" s="1"/>
      <c r="G89" s="1"/>
      <c r="H89" s="1"/>
      <c r="I89" s="1"/>
      <c r="J89" s="1"/>
      <c r="K89" s="2"/>
      <c r="L89" s="1"/>
      <c r="M89" s="1"/>
      <c r="N89" s="1"/>
      <c r="O89" s="1"/>
      <c r="P89" s="1"/>
      <c r="Q89" s="1"/>
      <c r="R89" s="1"/>
      <c r="S89" s="1"/>
      <c r="U89" s="9"/>
      <c r="V89" s="16"/>
      <c r="W89" s="16"/>
      <c r="X89" s="16"/>
      <c r="Y89" s="16"/>
    </row>
    <row r="90" spans="1:27" x14ac:dyDescent="0.2">
      <c r="A90" s="9"/>
      <c r="B90" s="9"/>
      <c r="C90" s="2"/>
      <c r="D90" s="1"/>
      <c r="E90" s="1"/>
      <c r="F90" s="1"/>
      <c r="G90" s="1"/>
      <c r="H90" s="1"/>
      <c r="I90" s="1"/>
      <c r="J90" s="1"/>
      <c r="K90" s="2"/>
      <c r="L90" s="1"/>
      <c r="M90" s="1"/>
      <c r="N90" s="1"/>
      <c r="O90" s="1"/>
      <c r="P90" s="1"/>
      <c r="Q90" s="1"/>
      <c r="R90" s="1"/>
      <c r="S90" s="1"/>
      <c r="U90" s="2"/>
      <c r="V90" s="1"/>
      <c r="W90" s="1"/>
      <c r="X90" s="1"/>
      <c r="Y90" s="1"/>
    </row>
    <row r="91" spans="1:27" x14ac:dyDescent="0.2">
      <c r="A91" s="9"/>
      <c r="B91" s="52" t="s">
        <v>44</v>
      </c>
      <c r="C91" s="3" t="s">
        <v>45</v>
      </c>
      <c r="D91" s="16" t="s">
        <v>46</v>
      </c>
      <c r="E91" s="16" t="s">
        <v>47</v>
      </c>
      <c r="F91" s="16" t="s">
        <v>48</v>
      </c>
      <c r="G91" s="16" t="s">
        <v>5</v>
      </c>
      <c r="H91" s="1"/>
      <c r="I91" s="1"/>
      <c r="J91" s="1"/>
      <c r="K91" s="2"/>
      <c r="L91" s="1"/>
      <c r="M91" s="1"/>
      <c r="N91" s="1"/>
      <c r="O91" s="1"/>
      <c r="P91" s="1"/>
      <c r="Q91" s="1"/>
      <c r="R91" s="1"/>
      <c r="S91" s="1"/>
      <c r="U91" s="2"/>
      <c r="V91" s="1"/>
      <c r="W91" s="35"/>
      <c r="X91" s="1"/>
      <c r="Y91" s="1"/>
    </row>
    <row r="92" spans="1:27" x14ac:dyDescent="0.2">
      <c r="A92" s="9"/>
      <c r="B92" s="9"/>
      <c r="C92" s="2"/>
      <c r="D92" s="1"/>
      <c r="E92" s="1"/>
      <c r="F92" s="1"/>
      <c r="G92" s="1"/>
      <c r="H92" s="1"/>
      <c r="I92" s="1"/>
      <c r="J92" s="1"/>
      <c r="K92" s="2"/>
      <c r="L92" s="1"/>
      <c r="M92" s="1"/>
      <c r="N92" s="1"/>
      <c r="O92" s="1"/>
      <c r="P92" s="1"/>
      <c r="Q92" s="1"/>
      <c r="R92" s="1"/>
      <c r="S92" s="1"/>
      <c r="U92" s="2"/>
      <c r="V92" s="1"/>
      <c r="W92" s="1"/>
      <c r="X92" s="1"/>
      <c r="Y92" s="1"/>
    </row>
    <row r="93" spans="1:27" x14ac:dyDescent="0.2">
      <c r="A93" s="9"/>
      <c r="B93" s="9" t="s">
        <v>656</v>
      </c>
      <c r="C93" s="2"/>
      <c r="D93" s="1"/>
      <c r="E93" s="1"/>
      <c r="F93" s="1"/>
      <c r="G93" s="1"/>
      <c r="H93" s="1"/>
      <c r="I93" s="1"/>
      <c r="J93" s="1"/>
      <c r="K93" s="2"/>
      <c r="L93" s="1"/>
      <c r="M93" s="1"/>
      <c r="N93" s="1"/>
      <c r="O93" s="1"/>
      <c r="P93" s="1"/>
      <c r="Q93" s="1"/>
      <c r="R93" s="1"/>
      <c r="S93" s="1"/>
      <c r="U93" s="2"/>
      <c r="V93" s="1"/>
      <c r="W93" s="1"/>
      <c r="X93" s="1"/>
      <c r="Y93" s="1"/>
    </row>
    <row r="94" spans="1:27" x14ac:dyDescent="0.2">
      <c r="A94" s="9"/>
      <c r="B94" s="9" t="s">
        <v>6</v>
      </c>
      <c r="C94" s="2">
        <v>0.32079999999999997</v>
      </c>
      <c r="D94" s="1" t="s">
        <v>1085</v>
      </c>
      <c r="E94" s="1" t="s">
        <v>41</v>
      </c>
      <c r="F94" s="1" t="s">
        <v>12</v>
      </c>
      <c r="G94" s="1">
        <v>1.72E-2</v>
      </c>
      <c r="H94" s="1"/>
      <c r="I94" s="1"/>
      <c r="J94" s="1"/>
      <c r="K94" s="2"/>
      <c r="L94" s="1"/>
      <c r="M94" s="1"/>
      <c r="N94" s="1"/>
      <c r="O94" s="1"/>
      <c r="P94" s="1"/>
      <c r="Q94" s="1"/>
      <c r="R94" s="1"/>
      <c r="S94" s="1"/>
      <c r="U94" s="2"/>
      <c r="V94" s="1"/>
      <c r="W94" s="1"/>
      <c r="X94" s="1"/>
      <c r="Y94" s="1"/>
    </row>
    <row r="95" spans="1:27" x14ac:dyDescent="0.2">
      <c r="A95" s="9"/>
      <c r="B95" s="9" t="s">
        <v>7</v>
      </c>
      <c r="C95" s="2">
        <v>0.32079999999999997</v>
      </c>
      <c r="D95" s="1" t="s">
        <v>1086</v>
      </c>
      <c r="E95" s="1" t="s">
        <v>41</v>
      </c>
      <c r="F95" s="1" t="s">
        <v>12</v>
      </c>
      <c r="G95" s="1">
        <v>1.7000000000000001E-2</v>
      </c>
      <c r="H95" s="1"/>
      <c r="I95" s="1"/>
      <c r="J95" s="1"/>
      <c r="K95" s="2"/>
      <c r="L95" s="1"/>
      <c r="M95" s="1"/>
      <c r="N95" s="1"/>
      <c r="O95" s="1"/>
      <c r="P95" s="1"/>
      <c r="Q95" s="1"/>
      <c r="R95" s="1"/>
      <c r="S95" s="1"/>
      <c r="U95" s="2"/>
      <c r="V95" s="1"/>
      <c r="W95" s="1"/>
      <c r="X95" s="1"/>
      <c r="Y95" s="1"/>
    </row>
    <row r="96" spans="1:27" x14ac:dyDescent="0.2">
      <c r="A96" s="9"/>
      <c r="B96" s="9" t="s">
        <v>8</v>
      </c>
      <c r="C96" s="2">
        <v>0.3175</v>
      </c>
      <c r="D96" s="1" t="s">
        <v>1087</v>
      </c>
      <c r="E96" s="1" t="s">
        <v>41</v>
      </c>
      <c r="F96" s="1" t="s">
        <v>12</v>
      </c>
      <c r="G96" s="1">
        <v>1.78E-2</v>
      </c>
      <c r="H96" s="1"/>
      <c r="I96" s="1"/>
      <c r="J96" s="1"/>
      <c r="K96" s="2"/>
      <c r="L96" s="1"/>
      <c r="M96" s="1"/>
      <c r="N96" s="1"/>
      <c r="O96" s="1"/>
      <c r="P96" s="1"/>
      <c r="Q96" s="1"/>
      <c r="R96" s="1"/>
      <c r="S96" s="1"/>
    </row>
    <row r="97" spans="1:19" x14ac:dyDescent="0.2">
      <c r="A97" s="9"/>
      <c r="B97" s="9"/>
      <c r="C97" s="2"/>
      <c r="D97" s="1"/>
      <c r="E97" s="1"/>
      <c r="F97" s="1"/>
      <c r="G97" s="1"/>
      <c r="H97" s="1"/>
      <c r="I97" s="1"/>
      <c r="J97" s="1"/>
      <c r="K97" s="2"/>
      <c r="L97" s="1"/>
      <c r="M97" s="1"/>
      <c r="N97" s="1"/>
      <c r="O97" s="1"/>
      <c r="P97" s="1"/>
      <c r="Q97" s="1"/>
      <c r="R97" s="1"/>
      <c r="S97" s="1"/>
    </row>
    <row r="98" spans="1:19" x14ac:dyDescent="0.2">
      <c r="A98" s="9"/>
      <c r="B98" s="9" t="s">
        <v>657</v>
      </c>
      <c r="C98" s="2"/>
      <c r="D98" s="1"/>
      <c r="E98" s="1"/>
      <c r="F98" s="1"/>
      <c r="G98" s="1"/>
      <c r="H98" s="1"/>
      <c r="I98" s="1"/>
      <c r="J98" s="1"/>
      <c r="K98" s="2"/>
      <c r="L98" s="1"/>
      <c r="M98" s="1"/>
      <c r="N98" s="1"/>
      <c r="O98" s="1"/>
      <c r="P98" s="1"/>
      <c r="Q98" s="1"/>
      <c r="R98" s="1"/>
      <c r="S98" s="1"/>
    </row>
    <row r="99" spans="1:19" x14ac:dyDescent="0.2">
      <c r="A99" s="9"/>
      <c r="B99" s="9" t="s">
        <v>6</v>
      </c>
      <c r="C99" s="2">
        <v>0.36420000000000002</v>
      </c>
      <c r="D99" s="1" t="s">
        <v>1088</v>
      </c>
      <c r="E99" s="1" t="s">
        <v>41</v>
      </c>
      <c r="F99" s="1" t="s">
        <v>12</v>
      </c>
      <c r="G99" s="1">
        <v>1.38E-2</v>
      </c>
      <c r="H99" s="46"/>
      <c r="I99" s="1"/>
      <c r="J99" s="1"/>
      <c r="K99" s="2"/>
      <c r="L99" s="1"/>
      <c r="M99" s="1"/>
      <c r="N99" s="1"/>
      <c r="O99" s="1"/>
      <c r="P99" s="1"/>
      <c r="Q99" s="1"/>
      <c r="R99" s="1"/>
      <c r="S99" s="1"/>
    </row>
    <row r="100" spans="1:19" x14ac:dyDescent="0.2">
      <c r="A100" s="9"/>
      <c r="B100" s="9" t="s">
        <v>7</v>
      </c>
      <c r="C100" s="2">
        <v>0.38080000000000003</v>
      </c>
      <c r="D100" s="1" t="s">
        <v>1089</v>
      </c>
      <c r="E100" s="1" t="s">
        <v>41</v>
      </c>
      <c r="F100" s="1" t="s">
        <v>12</v>
      </c>
      <c r="G100" s="1">
        <v>1.0200000000000001E-2</v>
      </c>
      <c r="H100" s="46"/>
      <c r="I100" s="1"/>
      <c r="J100" s="1"/>
      <c r="K100" s="2"/>
      <c r="L100" s="1"/>
      <c r="M100" s="1"/>
      <c r="N100" s="1"/>
      <c r="O100" s="1"/>
      <c r="P100" s="1"/>
      <c r="Q100" s="1"/>
      <c r="R100" s="1"/>
      <c r="S100" s="1"/>
    </row>
    <row r="101" spans="1:19" x14ac:dyDescent="0.2">
      <c r="A101" s="9"/>
      <c r="B101" s="9" t="s">
        <v>8</v>
      </c>
      <c r="C101" s="2">
        <v>0.36080000000000001</v>
      </c>
      <c r="D101" s="1" t="s">
        <v>1090</v>
      </c>
      <c r="E101" s="1" t="s">
        <v>41</v>
      </c>
      <c r="F101" s="1" t="s">
        <v>12</v>
      </c>
      <c r="G101" s="1">
        <v>1.43E-2</v>
      </c>
      <c r="H101" s="46"/>
      <c r="I101" s="1"/>
      <c r="J101" s="1"/>
      <c r="K101" s="2"/>
      <c r="L101" s="1"/>
      <c r="M101" s="1"/>
      <c r="N101" s="1"/>
      <c r="O101" s="1"/>
      <c r="P101" s="1"/>
      <c r="Q101" s="1"/>
      <c r="R101" s="1"/>
      <c r="S101" s="1"/>
    </row>
    <row r="102" spans="1:19" x14ac:dyDescent="0.2">
      <c r="A102" s="9"/>
      <c r="B102" s="9"/>
      <c r="C102" s="2"/>
      <c r="D102" s="1"/>
      <c r="E102" s="1"/>
      <c r="F102" s="1"/>
      <c r="G102" s="1"/>
      <c r="H102" s="46"/>
      <c r="I102" s="1"/>
      <c r="J102" s="1"/>
      <c r="K102" s="2"/>
      <c r="L102" s="1"/>
      <c r="M102" s="1"/>
      <c r="N102" s="1"/>
      <c r="O102" s="1"/>
      <c r="P102" s="1"/>
      <c r="Q102" s="1"/>
      <c r="R102" s="1"/>
      <c r="S102" s="1"/>
    </row>
    <row r="103" spans="1:19" x14ac:dyDescent="0.2">
      <c r="A103" s="9"/>
      <c r="B103" s="9" t="s">
        <v>658</v>
      </c>
      <c r="C103" s="2"/>
      <c r="D103" s="1"/>
      <c r="E103" s="1"/>
      <c r="F103" s="1"/>
      <c r="G103" s="1"/>
      <c r="H103" s="46"/>
      <c r="I103" s="1"/>
      <c r="J103" s="1"/>
      <c r="K103" s="2"/>
      <c r="L103" s="1"/>
      <c r="M103" s="1"/>
      <c r="N103" s="1"/>
      <c r="O103" s="1"/>
      <c r="P103" s="1"/>
      <c r="Q103" s="1"/>
      <c r="R103" s="1"/>
      <c r="S103" s="1"/>
    </row>
    <row r="104" spans="1:19" x14ac:dyDescent="0.2">
      <c r="A104" s="9"/>
      <c r="B104" s="9" t="s">
        <v>6</v>
      </c>
      <c r="C104" s="2">
        <v>0.4279</v>
      </c>
      <c r="D104" s="1" t="s">
        <v>1091</v>
      </c>
      <c r="E104" s="1" t="s">
        <v>41</v>
      </c>
      <c r="F104" s="1" t="s">
        <v>12</v>
      </c>
      <c r="G104" s="1">
        <v>1.9900000000000001E-2</v>
      </c>
      <c r="H104" s="46"/>
      <c r="I104" s="1"/>
      <c r="J104" s="1"/>
      <c r="K104" s="2"/>
      <c r="L104" s="1"/>
      <c r="M104" s="1"/>
      <c r="N104" s="1"/>
      <c r="O104" s="1"/>
      <c r="P104" s="1"/>
      <c r="Q104" s="1"/>
      <c r="R104" s="1"/>
      <c r="S104" s="1"/>
    </row>
    <row r="105" spans="1:19" x14ac:dyDescent="0.2">
      <c r="A105" s="9"/>
      <c r="B105" s="9" t="s">
        <v>7</v>
      </c>
      <c r="C105" s="2">
        <v>0.44290000000000002</v>
      </c>
      <c r="D105" s="1" t="s">
        <v>1092</v>
      </c>
      <c r="E105" s="1" t="s">
        <v>41</v>
      </c>
      <c r="F105" s="1" t="s">
        <v>12</v>
      </c>
      <c r="G105" s="1">
        <v>1.6299999999999999E-2</v>
      </c>
      <c r="H105" s="46"/>
      <c r="I105" s="1"/>
      <c r="J105" s="1"/>
      <c r="K105" s="2"/>
      <c r="L105" s="1"/>
      <c r="M105" s="1"/>
      <c r="N105" s="1"/>
      <c r="O105" s="1"/>
      <c r="P105" s="1"/>
      <c r="Q105" s="1"/>
      <c r="R105" s="1"/>
      <c r="S105" s="1"/>
    </row>
    <row r="106" spans="1:19" x14ac:dyDescent="0.2">
      <c r="A106" s="9"/>
      <c r="B106" s="9" t="s">
        <v>8</v>
      </c>
      <c r="C106" s="2">
        <v>0.44790000000000002</v>
      </c>
      <c r="D106" s="1" t="s">
        <v>1093</v>
      </c>
      <c r="E106" s="1" t="s">
        <v>41</v>
      </c>
      <c r="F106" s="1" t="s">
        <v>12</v>
      </c>
      <c r="G106" s="1">
        <v>1.5699999999999999E-2</v>
      </c>
      <c r="H106" s="46"/>
      <c r="I106" s="1"/>
      <c r="J106" s="1"/>
      <c r="K106" s="2"/>
      <c r="L106" s="1"/>
      <c r="M106" s="1"/>
      <c r="N106" s="1"/>
      <c r="O106" s="1"/>
      <c r="P106" s="1"/>
      <c r="Q106" s="1"/>
      <c r="R106" s="1"/>
      <c r="S106" s="1"/>
    </row>
    <row r="107" spans="1:19" x14ac:dyDescent="0.2">
      <c r="A107" s="9"/>
      <c r="B107" s="9"/>
      <c r="C107" s="2"/>
      <c r="D107" s="1"/>
      <c r="E107" s="1"/>
      <c r="F107" s="1"/>
      <c r="G107" s="1"/>
      <c r="H107" s="46"/>
      <c r="I107" s="1"/>
      <c r="J107" s="1"/>
      <c r="K107" s="2"/>
      <c r="L107" s="1"/>
      <c r="M107" s="1"/>
      <c r="N107" s="1"/>
      <c r="O107" s="1"/>
      <c r="P107" s="1"/>
      <c r="Q107" s="1"/>
      <c r="R107" s="1"/>
      <c r="S107" s="1"/>
    </row>
    <row r="108" spans="1:19" x14ac:dyDescent="0.2">
      <c r="A108" s="9"/>
      <c r="B108" s="9" t="s">
        <v>659</v>
      </c>
      <c r="C108" s="2"/>
      <c r="D108" s="1"/>
      <c r="E108" s="1"/>
      <c r="F108" s="1"/>
      <c r="G108" s="1"/>
      <c r="H108" s="46"/>
      <c r="I108" s="1"/>
      <c r="J108" s="1"/>
      <c r="K108" s="2"/>
      <c r="L108" s="1"/>
      <c r="M108" s="1"/>
      <c r="N108" s="1"/>
      <c r="O108" s="1"/>
      <c r="P108" s="1"/>
      <c r="Q108" s="1"/>
      <c r="R108" s="1"/>
      <c r="S108" s="1"/>
    </row>
    <row r="109" spans="1:19" x14ac:dyDescent="0.2">
      <c r="A109" s="9"/>
      <c r="B109" s="9" t="s">
        <v>6</v>
      </c>
      <c r="C109" s="2">
        <v>0.56789999999999996</v>
      </c>
      <c r="D109" s="1" t="s">
        <v>1094</v>
      </c>
      <c r="E109" s="1" t="s">
        <v>41</v>
      </c>
      <c r="F109" s="1" t="s">
        <v>12</v>
      </c>
      <c r="G109" s="1">
        <v>1.1599999999999999E-2</v>
      </c>
      <c r="H109" s="46"/>
      <c r="I109" s="1"/>
      <c r="J109" s="1"/>
      <c r="K109" s="2"/>
      <c r="L109" s="1"/>
      <c r="M109" s="1"/>
      <c r="N109" s="1"/>
      <c r="O109" s="1"/>
      <c r="P109" s="1"/>
      <c r="Q109" s="1"/>
      <c r="R109" s="1"/>
      <c r="S109" s="1"/>
    </row>
    <row r="110" spans="1:19" x14ac:dyDescent="0.2">
      <c r="A110" s="9"/>
      <c r="B110" s="9" t="s">
        <v>7</v>
      </c>
      <c r="C110" s="2">
        <v>0.60629999999999995</v>
      </c>
      <c r="D110" s="1" t="s">
        <v>1095</v>
      </c>
      <c r="E110" s="1" t="s">
        <v>41</v>
      </c>
      <c r="F110" s="1" t="s">
        <v>11</v>
      </c>
      <c r="G110" s="1">
        <v>8.0000000000000002E-3</v>
      </c>
      <c r="H110" s="1"/>
      <c r="I110" s="1"/>
      <c r="J110" s="1"/>
      <c r="K110" s="2"/>
      <c r="L110" s="1"/>
      <c r="M110" s="1"/>
      <c r="N110" s="1"/>
      <c r="O110" s="1"/>
      <c r="P110" s="1"/>
      <c r="Q110" s="1"/>
      <c r="R110" s="1"/>
      <c r="S110" s="1"/>
    </row>
    <row r="111" spans="1:19" x14ac:dyDescent="0.2">
      <c r="A111" s="9"/>
      <c r="B111" s="9" t="s">
        <v>8</v>
      </c>
      <c r="C111" s="2">
        <v>0.60460000000000003</v>
      </c>
      <c r="D111" s="1" t="s">
        <v>1096</v>
      </c>
      <c r="E111" s="1" t="s">
        <v>41</v>
      </c>
      <c r="F111" s="1" t="s">
        <v>11</v>
      </c>
      <c r="G111" s="1">
        <v>8.5000000000000006E-3</v>
      </c>
      <c r="H111" s="1"/>
      <c r="I111" s="1"/>
      <c r="J111" s="1"/>
      <c r="K111" s="2"/>
      <c r="L111" s="1"/>
      <c r="M111" s="1"/>
      <c r="N111" s="1"/>
      <c r="O111" s="1"/>
      <c r="P111" s="1"/>
      <c r="Q111" s="1"/>
      <c r="R111" s="1"/>
      <c r="S111" s="1"/>
    </row>
    <row r="112" spans="1:19" x14ac:dyDescent="0.2">
      <c r="A112" s="9"/>
      <c r="B112" s="9"/>
      <c r="C112" s="2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</row>
    <row r="113" spans="1:19" x14ac:dyDescent="0.2">
      <c r="A113" s="9"/>
      <c r="B113" s="9" t="s">
        <v>660</v>
      </c>
      <c r="C113" s="2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</row>
    <row r="114" spans="1:19" x14ac:dyDescent="0.2">
      <c r="A114" s="9"/>
      <c r="B114" s="9" t="s">
        <v>6</v>
      </c>
      <c r="C114" s="2">
        <v>0.72419999999999995</v>
      </c>
      <c r="D114" s="1" t="s">
        <v>1097</v>
      </c>
      <c r="E114" s="1" t="s">
        <v>41</v>
      </c>
      <c r="F114" s="1" t="s">
        <v>11</v>
      </c>
      <c r="G114" s="1">
        <v>4.7999999999999996E-3</v>
      </c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pans="1:19" x14ac:dyDescent="0.2">
      <c r="A115" s="9"/>
      <c r="B115" s="9" t="s">
        <v>7</v>
      </c>
      <c r="C115" s="2">
        <v>0.76249999999999996</v>
      </c>
      <c r="D115" s="1" t="s">
        <v>1098</v>
      </c>
      <c r="E115" s="1" t="s">
        <v>41</v>
      </c>
      <c r="F115" s="1" t="s">
        <v>11</v>
      </c>
      <c r="G115" s="1">
        <v>3.7000000000000002E-3</v>
      </c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</row>
    <row r="116" spans="1:19" x14ac:dyDescent="0.2">
      <c r="A116" s="9"/>
      <c r="B116" s="9" t="s">
        <v>8</v>
      </c>
      <c r="C116" s="2">
        <v>0.72419999999999995</v>
      </c>
      <c r="D116" s="1" t="s">
        <v>1099</v>
      </c>
      <c r="E116" s="1" t="s">
        <v>41</v>
      </c>
      <c r="F116" s="1" t="s">
        <v>11</v>
      </c>
      <c r="G116" s="1">
        <v>5.1000000000000004E-3</v>
      </c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</row>
    <row r="117" spans="1:19" x14ac:dyDescent="0.2">
      <c r="A117" s="9"/>
      <c r="B117" s="9"/>
      <c r="C117" s="2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</row>
    <row r="118" spans="1:19" x14ac:dyDescent="0.2">
      <c r="A118" s="9"/>
      <c r="B118" s="9" t="s">
        <v>661</v>
      </c>
      <c r="C118" s="2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</row>
    <row r="119" spans="1:19" x14ac:dyDescent="0.2">
      <c r="A119" s="9"/>
      <c r="B119" s="9" t="s">
        <v>6</v>
      </c>
      <c r="C119" s="2">
        <v>0.88080000000000003</v>
      </c>
      <c r="D119" s="1" t="s">
        <v>1100</v>
      </c>
      <c r="E119" s="1" t="s">
        <v>41</v>
      </c>
      <c r="F119" s="1" t="s">
        <v>11</v>
      </c>
      <c r="G119" s="1">
        <v>1.6000000000000001E-3</v>
      </c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</row>
    <row r="120" spans="1:19" x14ac:dyDescent="0.2">
      <c r="A120" s="9"/>
      <c r="B120" s="9" t="s">
        <v>7</v>
      </c>
      <c r="C120" s="2">
        <v>0.96419999999999995</v>
      </c>
      <c r="D120" s="1" t="s">
        <v>1101</v>
      </c>
      <c r="E120" s="1" t="s">
        <v>41</v>
      </c>
      <c r="F120" s="1" t="s">
        <v>11</v>
      </c>
      <c r="G120" s="1">
        <v>1E-3</v>
      </c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</row>
    <row r="121" spans="1:19" x14ac:dyDescent="0.2">
      <c r="A121" s="9"/>
      <c r="B121" s="9" t="s">
        <v>8</v>
      </c>
      <c r="C121" s="2">
        <v>0.95750000000000002</v>
      </c>
      <c r="D121" s="1" t="s">
        <v>1102</v>
      </c>
      <c r="E121" s="1" t="s">
        <v>41</v>
      </c>
      <c r="F121" s="1" t="s">
        <v>11</v>
      </c>
      <c r="G121" s="1">
        <v>1E-3</v>
      </c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</row>
    <row r="122" spans="1:19" x14ac:dyDescent="0.2">
      <c r="A122" s="9"/>
      <c r="B122" s="9"/>
      <c r="C122" s="2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</row>
    <row r="123" spans="1:19" x14ac:dyDescent="0.2">
      <c r="A123" s="9"/>
      <c r="B123" s="9" t="s">
        <v>662</v>
      </c>
      <c r="C123" s="2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</row>
    <row r="124" spans="1:19" x14ac:dyDescent="0.2">
      <c r="A124" s="9"/>
      <c r="B124" s="9" t="s">
        <v>6</v>
      </c>
      <c r="C124" s="2">
        <v>1.095</v>
      </c>
      <c r="D124" s="1" t="s">
        <v>1103</v>
      </c>
      <c r="E124" s="1" t="s">
        <v>41</v>
      </c>
      <c r="F124" s="1" t="s">
        <v>11</v>
      </c>
      <c r="G124" s="1">
        <v>2E-3</v>
      </c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</row>
    <row r="125" spans="1:19" x14ac:dyDescent="0.2">
      <c r="A125" s="9"/>
      <c r="B125" s="9" t="s">
        <v>7</v>
      </c>
      <c r="C125" s="2">
        <v>1.1719999999999999</v>
      </c>
      <c r="D125" s="1" t="s">
        <v>1104</v>
      </c>
      <c r="E125" s="1" t="s">
        <v>41</v>
      </c>
      <c r="F125" s="1" t="s">
        <v>11</v>
      </c>
      <c r="G125" s="1">
        <v>1.4E-3</v>
      </c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</row>
    <row r="126" spans="1:19" x14ac:dyDescent="0.2">
      <c r="A126" s="9"/>
      <c r="B126" s="9" t="s">
        <v>8</v>
      </c>
      <c r="C126" s="2">
        <v>1.155</v>
      </c>
      <c r="D126" s="1" t="s">
        <v>1105</v>
      </c>
      <c r="E126" s="1" t="s">
        <v>41</v>
      </c>
      <c r="F126" s="1" t="s">
        <v>11</v>
      </c>
      <c r="G126" s="1">
        <v>1.5E-3</v>
      </c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</row>
    <row r="127" spans="1:19" x14ac:dyDescent="0.2">
      <c r="A127" s="9"/>
      <c r="B127" s="9"/>
      <c r="C127" s="2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</row>
    <row r="128" spans="1:19" x14ac:dyDescent="0.2">
      <c r="A128" s="9"/>
      <c r="B128" s="9"/>
      <c r="C128" s="2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</row>
    <row r="129" spans="1:19" x14ac:dyDescent="0.2">
      <c r="A129" s="9"/>
      <c r="B129" s="9" t="s">
        <v>676</v>
      </c>
      <c r="C129" s="2" t="s">
        <v>1106</v>
      </c>
      <c r="D129" s="1" t="s">
        <v>1107</v>
      </c>
      <c r="E129" s="1" t="s">
        <v>45</v>
      </c>
      <c r="F129" s="1" t="s">
        <v>677</v>
      </c>
      <c r="G129" s="1" t="s">
        <v>678</v>
      </c>
      <c r="H129" s="1" t="s">
        <v>679</v>
      </c>
      <c r="I129" s="1" t="s">
        <v>680</v>
      </c>
      <c r="J129" s="1" t="s">
        <v>671</v>
      </c>
      <c r="K129" s="1"/>
      <c r="L129" s="1"/>
      <c r="M129" s="1"/>
      <c r="N129" s="1"/>
      <c r="O129" s="1"/>
      <c r="P129" s="1"/>
      <c r="Q129" s="1"/>
      <c r="R129" s="1"/>
      <c r="S129" s="1"/>
    </row>
    <row r="130" spans="1:19" x14ac:dyDescent="0.2">
      <c r="A130" s="9"/>
      <c r="B130" s="9"/>
      <c r="C130" s="2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</row>
    <row r="131" spans="1:19" x14ac:dyDescent="0.2">
      <c r="A131" s="9"/>
      <c r="B131" s="9" t="s">
        <v>656</v>
      </c>
      <c r="C131" s="2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</row>
    <row r="132" spans="1:19" x14ac:dyDescent="0.2">
      <c r="A132" s="9"/>
      <c r="B132" s="9" t="s">
        <v>6</v>
      </c>
      <c r="C132" s="2">
        <v>0.70750000000000002</v>
      </c>
      <c r="D132" s="1">
        <v>0.38669999999999999</v>
      </c>
      <c r="E132" s="1">
        <v>0.32079999999999997</v>
      </c>
      <c r="F132" s="1">
        <v>8.4199999999999997E-2</v>
      </c>
      <c r="G132" s="1">
        <v>8</v>
      </c>
      <c r="H132" s="1">
        <v>3</v>
      </c>
      <c r="I132" s="1">
        <v>3.81</v>
      </c>
      <c r="J132" s="1">
        <v>7.0880000000000001</v>
      </c>
      <c r="K132" s="1"/>
      <c r="L132" s="1"/>
      <c r="M132" s="1"/>
      <c r="N132" s="1"/>
      <c r="O132" s="1"/>
      <c r="P132" s="1"/>
      <c r="Q132" s="1"/>
      <c r="R132" s="1"/>
      <c r="S132" s="1"/>
    </row>
    <row r="133" spans="1:19" x14ac:dyDescent="0.2">
      <c r="A133" s="9"/>
      <c r="B133" s="9" t="s">
        <v>7</v>
      </c>
      <c r="C133" s="2">
        <v>0.70750000000000002</v>
      </c>
      <c r="D133" s="1">
        <v>0.38669999999999999</v>
      </c>
      <c r="E133" s="1">
        <v>0.32079999999999997</v>
      </c>
      <c r="F133" s="1">
        <v>8.4680000000000005E-2</v>
      </c>
      <c r="G133" s="1">
        <v>8</v>
      </c>
      <c r="H133" s="1">
        <v>6</v>
      </c>
      <c r="I133" s="1">
        <v>3.7890000000000001</v>
      </c>
      <c r="J133" s="1">
        <v>7.2460000000000004</v>
      </c>
      <c r="K133" s="1"/>
      <c r="L133" s="1"/>
      <c r="M133" s="1"/>
      <c r="N133" s="1"/>
      <c r="O133" s="1"/>
      <c r="P133" s="1"/>
      <c r="Q133" s="1"/>
      <c r="R133" s="1"/>
      <c r="S133" s="1"/>
    </row>
    <row r="134" spans="1:19" x14ac:dyDescent="0.2">
      <c r="A134" s="9"/>
      <c r="B134" s="9" t="s">
        <v>8</v>
      </c>
      <c r="C134" s="2">
        <v>0.70750000000000002</v>
      </c>
      <c r="D134" s="1">
        <v>0.39</v>
      </c>
      <c r="E134" s="1">
        <v>0.3175</v>
      </c>
      <c r="F134" s="1">
        <v>8.5319999999999993E-2</v>
      </c>
      <c r="G134" s="1">
        <v>8</v>
      </c>
      <c r="H134" s="1">
        <v>3</v>
      </c>
      <c r="I134" s="1">
        <v>3.7210000000000001</v>
      </c>
      <c r="J134" s="1">
        <v>7.4429999999999996</v>
      </c>
      <c r="K134" s="1"/>
      <c r="L134" s="1"/>
      <c r="M134" s="1"/>
      <c r="N134" s="1"/>
      <c r="O134" s="1"/>
      <c r="P134" s="1"/>
      <c r="Q134" s="1"/>
      <c r="R134" s="1"/>
      <c r="S134" s="1"/>
    </row>
    <row r="135" spans="1:19" x14ac:dyDescent="0.2">
      <c r="A135" s="9"/>
      <c r="B135" s="9"/>
      <c r="C135" s="2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</row>
    <row r="136" spans="1:19" x14ac:dyDescent="0.2">
      <c r="A136" s="9"/>
      <c r="B136" s="9" t="s">
        <v>657</v>
      </c>
      <c r="C136" s="2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</row>
    <row r="137" spans="1:19" x14ac:dyDescent="0.2">
      <c r="A137" s="9"/>
      <c r="B137" s="9" t="s">
        <v>6</v>
      </c>
      <c r="C137" s="2">
        <v>0.79749999999999999</v>
      </c>
      <c r="D137" s="1">
        <v>0.43330000000000002</v>
      </c>
      <c r="E137" s="1">
        <v>0.36420000000000002</v>
      </c>
      <c r="F137" s="1">
        <v>9.7119999999999998E-2</v>
      </c>
      <c r="G137" s="1">
        <v>8</v>
      </c>
      <c r="H137" s="1">
        <v>3</v>
      </c>
      <c r="I137" s="1">
        <v>3.75</v>
      </c>
      <c r="J137" s="1">
        <v>8.4659999999999993</v>
      </c>
      <c r="K137" s="1"/>
      <c r="L137" s="1"/>
      <c r="M137" s="1"/>
      <c r="N137" s="1"/>
      <c r="O137" s="1"/>
      <c r="P137" s="1"/>
      <c r="Q137" s="1"/>
      <c r="R137" s="1"/>
      <c r="S137" s="1"/>
    </row>
    <row r="138" spans="1:19" x14ac:dyDescent="0.2">
      <c r="A138" s="9"/>
      <c r="B138" s="9" t="s">
        <v>7</v>
      </c>
      <c r="C138" s="2">
        <v>0.79749999999999999</v>
      </c>
      <c r="D138" s="1">
        <v>0.41670000000000001</v>
      </c>
      <c r="E138" s="1">
        <v>0.38080000000000003</v>
      </c>
      <c r="F138" s="1">
        <v>9.9659999999999999E-2</v>
      </c>
      <c r="G138" s="1">
        <v>8</v>
      </c>
      <c r="H138" s="1">
        <v>6</v>
      </c>
      <c r="I138" s="1">
        <v>3.8210000000000002</v>
      </c>
      <c r="J138" s="1">
        <v>9.4760000000000009</v>
      </c>
      <c r="K138" s="1"/>
      <c r="L138" s="1"/>
      <c r="M138" s="1"/>
      <c r="N138" s="1"/>
      <c r="O138" s="1"/>
      <c r="P138" s="1"/>
      <c r="Q138" s="1"/>
      <c r="R138" s="1"/>
      <c r="S138" s="1"/>
    </row>
    <row r="139" spans="1:19" x14ac:dyDescent="0.2">
      <c r="A139" s="9"/>
      <c r="B139" s="9" t="s">
        <v>8</v>
      </c>
      <c r="C139" s="2">
        <v>0.79749999999999999</v>
      </c>
      <c r="D139" s="1">
        <v>0.43669999999999998</v>
      </c>
      <c r="E139" s="1">
        <v>0.36080000000000001</v>
      </c>
      <c r="F139" s="1">
        <v>9.6600000000000005E-2</v>
      </c>
      <c r="G139" s="1">
        <v>8</v>
      </c>
      <c r="H139" s="1">
        <v>3</v>
      </c>
      <c r="I139" s="1">
        <v>3.7349999999999999</v>
      </c>
      <c r="J139" s="1">
        <v>8.3719999999999999</v>
      </c>
      <c r="K139" s="1"/>
      <c r="L139" s="1"/>
      <c r="M139" s="1"/>
      <c r="N139" s="1"/>
      <c r="O139" s="1"/>
      <c r="P139" s="1"/>
      <c r="Q139" s="1"/>
      <c r="R139" s="1"/>
      <c r="S139" s="1"/>
    </row>
    <row r="140" spans="1:19" x14ac:dyDescent="0.2">
      <c r="A140" s="9"/>
      <c r="B140" s="9"/>
      <c r="C140" s="2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</row>
    <row r="141" spans="1:19" x14ac:dyDescent="0.2">
      <c r="A141" s="9"/>
      <c r="B141" s="9" t="s">
        <v>658</v>
      </c>
      <c r="C141" s="2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</row>
    <row r="142" spans="1:19" x14ac:dyDescent="0.2">
      <c r="A142" s="9"/>
      <c r="B142" s="9" t="s">
        <v>6</v>
      </c>
      <c r="C142" s="2">
        <v>0.86129999999999995</v>
      </c>
      <c r="D142" s="1">
        <v>0.43330000000000002</v>
      </c>
      <c r="E142" s="1">
        <v>0.4279</v>
      </c>
      <c r="F142" s="1">
        <v>0.12039999999999999</v>
      </c>
      <c r="G142" s="1">
        <v>8</v>
      </c>
      <c r="H142" s="1">
        <v>3</v>
      </c>
      <c r="I142" s="1">
        <v>3.5539999999999998</v>
      </c>
      <c r="J142" s="1">
        <v>8.0169999999999995</v>
      </c>
      <c r="K142" s="1"/>
      <c r="L142" s="1"/>
      <c r="M142" s="1"/>
      <c r="N142" s="1"/>
      <c r="O142" s="1"/>
      <c r="P142" s="1"/>
      <c r="Q142" s="1"/>
      <c r="R142" s="1"/>
      <c r="S142" s="1"/>
    </row>
    <row r="143" spans="1:19" x14ac:dyDescent="0.2">
      <c r="A143" s="9"/>
      <c r="B143" s="9" t="s">
        <v>7</v>
      </c>
      <c r="C143" s="2">
        <v>0.86129999999999995</v>
      </c>
      <c r="D143" s="1">
        <v>0.41830000000000001</v>
      </c>
      <c r="E143" s="1">
        <v>0.44290000000000002</v>
      </c>
      <c r="F143" s="1">
        <v>0.12180000000000001</v>
      </c>
      <c r="G143" s="1">
        <v>8</v>
      </c>
      <c r="H143" s="1">
        <v>6</v>
      </c>
      <c r="I143" s="1">
        <v>3.6360000000000001</v>
      </c>
      <c r="J143" s="1">
        <v>8.4659999999999993</v>
      </c>
      <c r="K143" s="1"/>
      <c r="L143" s="1"/>
      <c r="M143" s="1"/>
      <c r="N143" s="1"/>
      <c r="O143" s="1"/>
      <c r="P143" s="1"/>
      <c r="Q143" s="1"/>
      <c r="R143" s="1"/>
      <c r="S143" s="1"/>
    </row>
    <row r="144" spans="1:19" x14ac:dyDescent="0.2">
      <c r="A144" s="9"/>
      <c r="B144" s="9" t="s">
        <v>8</v>
      </c>
      <c r="C144" s="2">
        <v>0.86129999999999995</v>
      </c>
      <c r="D144" s="1">
        <v>0.4133</v>
      </c>
      <c r="E144" s="1">
        <v>0.44790000000000002</v>
      </c>
      <c r="F144" s="1">
        <v>0.1191</v>
      </c>
      <c r="G144" s="1">
        <v>8</v>
      </c>
      <c r="H144" s="1">
        <v>3</v>
      </c>
      <c r="I144" s="1">
        <v>3.76</v>
      </c>
      <c r="J144" s="1">
        <v>7.774</v>
      </c>
      <c r="K144" s="1"/>
      <c r="L144" s="1"/>
      <c r="M144" s="1"/>
      <c r="N144" s="1"/>
      <c r="O144" s="1"/>
      <c r="P144" s="1"/>
      <c r="Q144" s="1"/>
      <c r="R144" s="1"/>
      <c r="S144" s="1"/>
    </row>
    <row r="145" spans="1:19" x14ac:dyDescent="0.2">
      <c r="A145" s="9"/>
      <c r="B145" s="9"/>
      <c r="C145" s="2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</row>
    <row r="146" spans="1:19" x14ac:dyDescent="0.2">
      <c r="A146" s="9"/>
      <c r="B146" s="9" t="s">
        <v>659</v>
      </c>
      <c r="C146" s="2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</row>
    <row r="147" spans="1:19" x14ac:dyDescent="0.2">
      <c r="A147" s="9"/>
      <c r="B147" s="9" t="s">
        <v>6</v>
      </c>
      <c r="C147" s="2">
        <v>0.95130000000000003</v>
      </c>
      <c r="D147" s="1">
        <v>0.38329999999999997</v>
      </c>
      <c r="E147" s="1">
        <v>0.56789999999999996</v>
      </c>
      <c r="F147" s="1">
        <v>0.1452</v>
      </c>
      <c r="G147" s="1">
        <v>8</v>
      </c>
      <c r="H147" s="1">
        <v>3</v>
      </c>
      <c r="I147" s="1">
        <v>3.9119999999999999</v>
      </c>
      <c r="J147" s="1">
        <v>8.1630000000000003</v>
      </c>
      <c r="K147" s="1"/>
      <c r="L147" s="1"/>
      <c r="M147" s="1"/>
      <c r="N147" s="1"/>
      <c r="O147" s="1"/>
      <c r="P147" s="1"/>
      <c r="Q147" s="1"/>
      <c r="R147" s="1"/>
      <c r="S147" s="1"/>
    </row>
    <row r="148" spans="1:19" x14ac:dyDescent="0.2">
      <c r="A148" s="9"/>
      <c r="B148" s="9" t="s">
        <v>7</v>
      </c>
      <c r="C148" s="502">
        <v>0.95130000000000003</v>
      </c>
      <c r="D148" s="9">
        <v>0.34499999999999997</v>
      </c>
      <c r="E148" s="9">
        <v>0.60629999999999995</v>
      </c>
      <c r="F148" s="9">
        <v>0.14219999999999999</v>
      </c>
      <c r="G148" s="9">
        <v>8</v>
      </c>
      <c r="H148" s="9">
        <v>6</v>
      </c>
      <c r="I148" s="9">
        <v>4.2640000000000002</v>
      </c>
      <c r="J148" s="9">
        <v>7.7320000000000002</v>
      </c>
      <c r="K148" s="46"/>
      <c r="L148" s="1"/>
      <c r="M148" s="1"/>
      <c r="N148" s="1"/>
      <c r="O148" s="1"/>
      <c r="P148" s="1"/>
      <c r="Q148" s="1"/>
      <c r="R148" s="1"/>
      <c r="S148" s="1"/>
    </row>
    <row r="149" spans="1:19" x14ac:dyDescent="0.2">
      <c r="A149" s="9"/>
      <c r="B149" s="9" t="s">
        <v>8</v>
      </c>
      <c r="C149" s="502">
        <v>0.95130000000000003</v>
      </c>
      <c r="D149" s="9">
        <v>0.34670000000000001</v>
      </c>
      <c r="E149" s="9">
        <v>0.60460000000000003</v>
      </c>
      <c r="F149" s="9">
        <v>0.1406</v>
      </c>
      <c r="G149" s="9">
        <v>8</v>
      </c>
      <c r="H149" s="9">
        <v>3</v>
      </c>
      <c r="I149" s="9">
        <v>4.3</v>
      </c>
      <c r="J149" s="9">
        <v>7.4039999999999999</v>
      </c>
      <c r="K149" s="46"/>
      <c r="L149" s="1"/>
      <c r="M149" s="1"/>
      <c r="N149" s="1"/>
      <c r="O149" s="1"/>
      <c r="P149" s="1"/>
      <c r="Q149" s="1"/>
      <c r="R149" s="1"/>
      <c r="S149" s="1"/>
    </row>
    <row r="150" spans="1:19" x14ac:dyDescent="0.2">
      <c r="A150" s="9"/>
      <c r="B150" s="9"/>
      <c r="C150" s="502"/>
      <c r="D150" s="9"/>
      <c r="E150" s="9"/>
      <c r="F150" s="9"/>
      <c r="G150" s="9"/>
      <c r="H150" s="9"/>
      <c r="I150" s="9"/>
      <c r="J150" s="9"/>
      <c r="K150" s="46"/>
      <c r="L150" s="1"/>
      <c r="M150" s="1"/>
      <c r="N150" s="1"/>
      <c r="O150" s="1"/>
      <c r="P150" s="1"/>
      <c r="Q150" s="1"/>
      <c r="R150" s="1"/>
      <c r="S150" s="1"/>
    </row>
    <row r="151" spans="1:19" x14ac:dyDescent="0.2">
      <c r="A151" s="9"/>
      <c r="B151" s="9" t="s">
        <v>660</v>
      </c>
      <c r="C151" s="502"/>
      <c r="D151" s="9"/>
      <c r="E151" s="9"/>
      <c r="F151" s="9"/>
      <c r="G151" s="9"/>
      <c r="H151" s="9"/>
      <c r="I151" s="9"/>
      <c r="J151" s="9"/>
      <c r="K151" s="46"/>
      <c r="L151" s="1"/>
      <c r="M151" s="1"/>
      <c r="N151" s="1"/>
      <c r="O151" s="1"/>
      <c r="P151" s="1"/>
      <c r="Q151" s="1"/>
      <c r="R151" s="1"/>
      <c r="S151" s="1"/>
    </row>
    <row r="152" spans="1:19" x14ac:dyDescent="0.2">
      <c r="A152" s="9"/>
      <c r="B152" s="9" t="s">
        <v>6</v>
      </c>
      <c r="C152" s="502">
        <v>1.0580000000000001</v>
      </c>
      <c r="D152" s="9">
        <v>0.33329999999999999</v>
      </c>
      <c r="E152" s="9">
        <v>0.72419999999999995</v>
      </c>
      <c r="F152" s="9">
        <v>0.1545</v>
      </c>
      <c r="G152" s="9">
        <v>8</v>
      </c>
      <c r="H152" s="9">
        <v>3</v>
      </c>
      <c r="I152" s="9">
        <v>4.6870000000000003</v>
      </c>
      <c r="J152" s="9">
        <v>7.6369999999999996</v>
      </c>
      <c r="K152" s="46"/>
      <c r="L152" s="1"/>
      <c r="M152" s="1"/>
      <c r="N152" s="1"/>
      <c r="O152" s="1"/>
      <c r="P152" s="1"/>
      <c r="Q152" s="1"/>
      <c r="R152" s="1"/>
      <c r="S152" s="1"/>
    </row>
    <row r="153" spans="1:19" x14ac:dyDescent="0.2">
      <c r="A153" s="9"/>
      <c r="B153" s="9" t="s">
        <v>7</v>
      </c>
      <c r="C153" s="502">
        <v>1.0580000000000001</v>
      </c>
      <c r="D153" s="9">
        <v>0.29499999999999998</v>
      </c>
      <c r="E153" s="9">
        <v>0.76249999999999996</v>
      </c>
      <c r="F153" s="9">
        <v>0.1532</v>
      </c>
      <c r="G153" s="9">
        <v>8</v>
      </c>
      <c r="H153" s="9">
        <v>6</v>
      </c>
      <c r="I153" s="9">
        <v>4.9779999999999998</v>
      </c>
      <c r="J153" s="9">
        <v>7.43</v>
      </c>
      <c r="K153" s="46"/>
      <c r="L153" s="1"/>
      <c r="M153" s="1"/>
      <c r="N153" s="1"/>
      <c r="O153" s="1"/>
      <c r="P153" s="1"/>
      <c r="Q153" s="1"/>
      <c r="R153" s="1"/>
      <c r="S153" s="1"/>
    </row>
    <row r="154" spans="1:19" x14ac:dyDescent="0.2">
      <c r="A154" s="9"/>
      <c r="B154" s="9" t="s">
        <v>8</v>
      </c>
      <c r="C154" s="502">
        <v>1.0580000000000001</v>
      </c>
      <c r="D154" s="9">
        <v>0.33329999999999999</v>
      </c>
      <c r="E154" s="9">
        <v>0.72419999999999995</v>
      </c>
      <c r="F154" s="9">
        <v>0.1522</v>
      </c>
      <c r="G154" s="9">
        <v>8</v>
      </c>
      <c r="H154" s="9">
        <v>3</v>
      </c>
      <c r="I154" s="9">
        <v>4.758</v>
      </c>
      <c r="J154" s="9">
        <v>7.2469999999999999</v>
      </c>
      <c r="K154" s="46"/>
      <c r="L154" s="1"/>
      <c r="M154" s="1"/>
      <c r="N154" s="1"/>
      <c r="O154" s="1"/>
      <c r="P154" s="1"/>
      <c r="Q154" s="1"/>
      <c r="R154" s="1"/>
      <c r="S154" s="1"/>
    </row>
    <row r="155" spans="1:19" x14ac:dyDescent="0.2">
      <c r="A155" s="9"/>
      <c r="B155" s="9"/>
      <c r="C155" s="502"/>
      <c r="D155" s="9"/>
      <c r="E155" s="9"/>
      <c r="F155" s="9"/>
      <c r="G155" s="9"/>
      <c r="H155" s="9"/>
      <c r="I155" s="9"/>
      <c r="J155" s="9"/>
      <c r="K155" s="46"/>
      <c r="L155" s="1"/>
      <c r="M155" s="1"/>
      <c r="N155" s="1"/>
      <c r="O155" s="1"/>
      <c r="P155" s="1"/>
      <c r="Q155" s="1"/>
      <c r="R155" s="1"/>
      <c r="S155" s="1"/>
    </row>
    <row r="156" spans="1:19" x14ac:dyDescent="0.2">
      <c r="A156" s="9"/>
      <c r="B156" s="9" t="s">
        <v>661</v>
      </c>
      <c r="C156" s="502"/>
      <c r="D156" s="9"/>
      <c r="E156" s="9"/>
      <c r="F156" s="9"/>
      <c r="G156" s="9"/>
      <c r="H156" s="9"/>
      <c r="I156" s="9"/>
      <c r="J156" s="9"/>
      <c r="K156" s="46"/>
      <c r="L156" s="1"/>
      <c r="M156" s="1"/>
      <c r="N156" s="1"/>
      <c r="O156" s="1"/>
      <c r="P156" s="1"/>
      <c r="Q156" s="1"/>
      <c r="R156" s="1"/>
      <c r="S156" s="1"/>
    </row>
    <row r="157" spans="1:19" x14ac:dyDescent="0.2">
      <c r="A157" s="9"/>
      <c r="B157" s="9" t="s">
        <v>6</v>
      </c>
      <c r="C157" s="502">
        <v>1.1579999999999999</v>
      </c>
      <c r="D157" s="9">
        <v>0.2767</v>
      </c>
      <c r="E157" s="9">
        <v>0.88080000000000003</v>
      </c>
      <c r="F157" s="9">
        <v>0.15740000000000001</v>
      </c>
      <c r="G157" s="9">
        <v>8</v>
      </c>
      <c r="H157" s="9">
        <v>3</v>
      </c>
      <c r="I157" s="9">
        <v>5.5960000000000001</v>
      </c>
      <c r="J157" s="9">
        <v>7.7549999999999999</v>
      </c>
      <c r="K157" s="46"/>
      <c r="L157" s="1"/>
      <c r="M157" s="1"/>
      <c r="N157" s="1"/>
      <c r="O157" s="1"/>
      <c r="P157" s="1"/>
      <c r="Q157" s="1"/>
      <c r="R157" s="1"/>
      <c r="S157" s="1"/>
    </row>
    <row r="158" spans="1:19" x14ac:dyDescent="0.2">
      <c r="A158" s="9"/>
      <c r="B158" s="9" t="s">
        <v>7</v>
      </c>
      <c r="C158" s="502">
        <v>1.1579999999999999</v>
      </c>
      <c r="D158" s="9">
        <v>0.1933</v>
      </c>
      <c r="E158" s="9">
        <v>0.96419999999999995</v>
      </c>
      <c r="F158" s="9">
        <v>0.1542</v>
      </c>
      <c r="G158" s="9">
        <v>8</v>
      </c>
      <c r="H158" s="9">
        <v>6</v>
      </c>
      <c r="I158" s="9">
        <v>6.2549999999999999</v>
      </c>
      <c r="J158" s="9">
        <v>7.2169999999999996</v>
      </c>
      <c r="K158" s="46"/>
      <c r="L158" s="1"/>
      <c r="M158" s="1"/>
      <c r="N158" s="1"/>
      <c r="O158" s="1"/>
      <c r="P158" s="1"/>
      <c r="Q158" s="1"/>
      <c r="R158" s="1"/>
      <c r="S158" s="1"/>
    </row>
    <row r="159" spans="1:19" x14ac:dyDescent="0.2">
      <c r="A159" s="9"/>
      <c r="B159" s="9" t="s">
        <v>8</v>
      </c>
      <c r="C159" s="502">
        <v>1.1579999999999999</v>
      </c>
      <c r="D159" s="9">
        <v>0.2</v>
      </c>
      <c r="E159" s="9">
        <v>0.95750000000000002</v>
      </c>
      <c r="F159" s="9">
        <v>0.155</v>
      </c>
      <c r="G159" s="9">
        <v>8</v>
      </c>
      <c r="H159" s="9">
        <v>3</v>
      </c>
      <c r="I159" s="9">
        <v>6.1760000000000002</v>
      </c>
      <c r="J159" s="9">
        <v>7.3650000000000002</v>
      </c>
      <c r="K159" s="46"/>
      <c r="L159" s="1"/>
      <c r="M159" s="1"/>
      <c r="N159" s="1"/>
      <c r="O159" s="1"/>
      <c r="P159" s="1"/>
      <c r="Q159" s="1"/>
      <c r="R159" s="1"/>
      <c r="S159" s="1"/>
    </row>
    <row r="160" spans="1:19" x14ac:dyDescent="0.2">
      <c r="A160" s="9"/>
      <c r="B160" s="9"/>
      <c r="C160" s="502"/>
      <c r="D160" s="9"/>
      <c r="E160" s="9"/>
      <c r="F160" s="9"/>
      <c r="G160" s="9"/>
      <c r="H160" s="9"/>
      <c r="I160" s="9"/>
      <c r="J160" s="9"/>
      <c r="K160" s="46"/>
      <c r="L160" s="1"/>
      <c r="M160" s="1"/>
      <c r="N160" s="1"/>
      <c r="O160" s="1"/>
      <c r="P160" s="1"/>
      <c r="Q160" s="1"/>
      <c r="R160" s="1"/>
      <c r="S160" s="1"/>
    </row>
    <row r="161" spans="1:19" x14ac:dyDescent="0.2">
      <c r="A161" s="9"/>
      <c r="B161" s="9" t="s">
        <v>662</v>
      </c>
      <c r="C161" s="502"/>
      <c r="D161" s="9"/>
      <c r="E161" s="9"/>
      <c r="F161" s="9"/>
      <c r="G161" s="9"/>
      <c r="H161" s="9"/>
      <c r="I161" s="9"/>
      <c r="J161" s="9"/>
      <c r="K161" s="2"/>
      <c r="L161" s="1"/>
      <c r="M161" s="1"/>
      <c r="N161" s="1"/>
      <c r="O161" s="1"/>
      <c r="P161" s="1"/>
      <c r="Q161" s="1"/>
      <c r="R161" s="1"/>
      <c r="S161" s="1"/>
    </row>
    <row r="162" spans="1:19" x14ac:dyDescent="0.2">
      <c r="A162" s="9"/>
      <c r="B162" s="9" t="s">
        <v>6</v>
      </c>
      <c r="C162" s="502">
        <v>1.3149999999999999</v>
      </c>
      <c r="D162" s="9">
        <v>0.22</v>
      </c>
      <c r="E162" s="9">
        <v>1.095</v>
      </c>
      <c r="F162" s="9">
        <v>0.1953</v>
      </c>
      <c r="G162" s="9">
        <v>8</v>
      </c>
      <c r="H162" s="9">
        <v>3</v>
      </c>
      <c r="I162" s="9">
        <v>5.6070000000000002</v>
      </c>
      <c r="J162" s="9">
        <v>7.1950000000000003</v>
      </c>
      <c r="K162" s="2"/>
      <c r="L162" s="1"/>
      <c r="M162" s="1"/>
      <c r="N162" s="1"/>
      <c r="O162" s="1"/>
      <c r="P162" s="1"/>
      <c r="Q162" s="1"/>
      <c r="R162" s="1"/>
      <c r="S162" s="1"/>
    </row>
    <row r="163" spans="1:19" x14ac:dyDescent="0.2">
      <c r="B163" s="9" t="s">
        <v>7</v>
      </c>
      <c r="C163" s="502">
        <v>1.3149999999999999</v>
      </c>
      <c r="D163" s="9">
        <v>0.14330000000000001</v>
      </c>
      <c r="E163" s="9">
        <v>1.1719999999999999</v>
      </c>
      <c r="F163" s="9">
        <v>0.1946</v>
      </c>
      <c r="G163" s="9">
        <v>8</v>
      </c>
      <c r="H163" s="9">
        <v>6</v>
      </c>
      <c r="I163" s="9">
        <v>6.02</v>
      </c>
      <c r="J163" s="9">
        <v>7.101</v>
      </c>
    </row>
    <row r="164" spans="1:19" x14ac:dyDescent="0.2">
      <c r="B164" s="9" t="s">
        <v>8</v>
      </c>
      <c r="C164" s="502">
        <v>1.3149999999999999</v>
      </c>
      <c r="D164" s="9">
        <v>0.16</v>
      </c>
      <c r="E164" s="9">
        <v>1.155</v>
      </c>
      <c r="F164" s="9">
        <v>0.19420000000000001</v>
      </c>
      <c r="G164" s="9">
        <v>8</v>
      </c>
      <c r="H164" s="9">
        <v>3</v>
      </c>
      <c r="I164" s="9">
        <v>5.9480000000000004</v>
      </c>
      <c r="J164" s="9">
        <v>7.0369999999999999</v>
      </c>
    </row>
    <row r="165" spans="1:19" x14ac:dyDescent="0.2">
      <c r="B165" s="27"/>
      <c r="C165" s="27"/>
      <c r="D165" s="27"/>
      <c r="E165" s="27"/>
      <c r="F165" s="27"/>
      <c r="G165" s="27"/>
      <c r="H165" s="27"/>
      <c r="I165" s="27"/>
      <c r="J165" s="27"/>
    </row>
  </sheetData>
  <pageMargins left="0.7" right="0.7" top="0.78740157499999996" bottom="0.78740157499999996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T53"/>
  <sheetViews>
    <sheetView topLeftCell="M9" workbookViewId="0">
      <selection activeCell="B16" sqref="B16"/>
    </sheetView>
  </sheetViews>
  <sheetFormatPr baseColWidth="10" defaultColWidth="11" defaultRowHeight="16" x14ac:dyDescent="0.2"/>
  <cols>
    <col min="1" max="7" width="11" style="27"/>
    <col min="8" max="8" width="9.1640625" style="27" bestFit="1" customWidth="1"/>
    <col min="9" max="9" width="15.5" style="27" bestFit="1" customWidth="1"/>
    <col min="10" max="16" width="11" style="27"/>
    <col min="17" max="17" width="29.33203125" style="27" customWidth="1"/>
    <col min="18" max="18" width="17.1640625" style="27" customWidth="1"/>
    <col min="19" max="19" width="16.6640625" style="27" customWidth="1"/>
    <col min="20" max="20" width="17" style="27" customWidth="1"/>
    <col min="21" max="16384" width="11" style="27"/>
  </cols>
  <sheetData>
    <row r="2" spans="1:20" ht="18" x14ac:dyDescent="0.2">
      <c r="A2" s="53" t="s">
        <v>697</v>
      </c>
      <c r="B2" s="53"/>
    </row>
    <row r="4" spans="1:20" ht="18" x14ac:dyDescent="0.2">
      <c r="A4" s="14" t="s">
        <v>1036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</row>
    <row r="6" spans="1:20" ht="18" x14ac:dyDescent="0.2">
      <c r="P6" s="101"/>
      <c r="Q6" s="19" t="s">
        <v>52</v>
      </c>
      <c r="R6" s="20"/>
      <c r="S6" s="20"/>
      <c r="T6" s="20"/>
    </row>
    <row r="7" spans="1:20" x14ac:dyDescent="0.2">
      <c r="B7" s="209" t="s">
        <v>1</v>
      </c>
      <c r="C7" s="9"/>
      <c r="D7" s="9"/>
      <c r="E7" s="9"/>
      <c r="F7" s="9"/>
      <c r="G7" s="9"/>
      <c r="H7" s="9"/>
      <c r="P7" s="101"/>
      <c r="Q7" s="101"/>
      <c r="R7" s="101"/>
      <c r="S7" s="101"/>
      <c r="T7" s="101"/>
    </row>
    <row r="8" spans="1:20" x14ac:dyDescent="0.2">
      <c r="C8" s="9"/>
      <c r="D8" s="9"/>
      <c r="E8" s="9"/>
      <c r="F8" s="9"/>
      <c r="G8" s="9"/>
      <c r="H8" s="9"/>
      <c r="J8" s="42"/>
      <c r="K8" s="9"/>
      <c r="L8" s="203"/>
      <c r="M8" s="204" t="s">
        <v>682</v>
      </c>
      <c r="N8" s="205"/>
      <c r="O8" s="9"/>
      <c r="P8" s="9"/>
      <c r="Q8" s="9" t="s">
        <v>1067</v>
      </c>
      <c r="R8" s="502" t="s">
        <v>1108</v>
      </c>
      <c r="S8" s="9" t="s">
        <v>1109</v>
      </c>
      <c r="T8" s="1" t="s">
        <v>1110</v>
      </c>
    </row>
    <row r="9" spans="1:20" x14ac:dyDescent="0.2">
      <c r="B9" s="9" t="s">
        <v>681</v>
      </c>
      <c r="C9" s="9"/>
      <c r="D9" s="9"/>
      <c r="E9" s="9"/>
      <c r="F9" s="9"/>
      <c r="G9" s="9"/>
      <c r="H9" s="9"/>
      <c r="J9" s="42"/>
      <c r="K9" s="9"/>
      <c r="L9" s="207" t="s">
        <v>709</v>
      </c>
      <c r="M9" s="207" t="s">
        <v>710</v>
      </c>
      <c r="N9" s="207" t="s">
        <v>711</v>
      </c>
      <c r="O9" s="9"/>
      <c r="P9" s="9"/>
      <c r="Q9" s="9"/>
      <c r="R9" s="502"/>
      <c r="S9" s="9"/>
      <c r="T9" s="1"/>
    </row>
    <row r="10" spans="1:20" x14ac:dyDescent="0.2">
      <c r="B10" s="177" t="s">
        <v>939</v>
      </c>
      <c r="C10" s="152" t="s">
        <v>684</v>
      </c>
      <c r="D10" s="152" t="s">
        <v>685</v>
      </c>
      <c r="E10" s="152" t="s">
        <v>686</v>
      </c>
      <c r="F10" s="152" t="s">
        <v>687</v>
      </c>
      <c r="G10" s="152" t="s">
        <v>688</v>
      </c>
      <c r="H10" s="152" t="s">
        <v>689</v>
      </c>
      <c r="J10" s="208" t="s">
        <v>690</v>
      </c>
      <c r="K10" s="209" t="s">
        <v>1</v>
      </c>
      <c r="L10" s="17">
        <v>4</v>
      </c>
      <c r="M10" s="17">
        <v>6</v>
      </c>
      <c r="N10" s="213">
        <f>L10/M10*100</f>
        <v>66.666666666666657</v>
      </c>
      <c r="O10" s="9"/>
      <c r="P10" s="9"/>
      <c r="Q10" s="9" t="s">
        <v>1111</v>
      </c>
      <c r="R10" s="502"/>
      <c r="S10" s="9"/>
      <c r="T10" s="1"/>
    </row>
    <row r="11" spans="1:20" x14ac:dyDescent="0.2">
      <c r="B11" s="11" t="s">
        <v>32</v>
      </c>
      <c r="C11" s="218">
        <v>0.5</v>
      </c>
      <c r="D11" s="218">
        <v>1.5</v>
      </c>
      <c r="E11" s="218">
        <v>0.2</v>
      </c>
      <c r="F11" s="17">
        <v>2</v>
      </c>
      <c r="G11" s="218">
        <v>0.2</v>
      </c>
      <c r="H11" s="17">
        <v>1.5</v>
      </c>
      <c r="J11" s="211"/>
      <c r="K11" s="212" t="s">
        <v>296</v>
      </c>
      <c r="L11" s="17">
        <v>9</v>
      </c>
      <c r="M11" s="17">
        <v>9</v>
      </c>
      <c r="N11" s="210">
        <f>L11/M11*100</f>
        <v>100</v>
      </c>
      <c r="O11" s="9"/>
      <c r="P11" s="9"/>
      <c r="Q11" s="9" t="s">
        <v>1112</v>
      </c>
      <c r="R11" s="502" t="s">
        <v>1113</v>
      </c>
      <c r="S11" s="1" t="s">
        <v>1113</v>
      </c>
      <c r="T11" s="1" t="s">
        <v>1113</v>
      </c>
    </row>
    <row r="12" spans="1:20" x14ac:dyDescent="0.2">
      <c r="B12" s="11" t="s">
        <v>33</v>
      </c>
      <c r="C12" s="218">
        <v>0.2</v>
      </c>
      <c r="D12" s="218">
        <v>2</v>
      </c>
      <c r="E12" s="218">
        <v>0.2</v>
      </c>
      <c r="F12" s="17">
        <v>2</v>
      </c>
      <c r="G12" s="218">
        <v>0.2</v>
      </c>
      <c r="H12" s="17">
        <v>2</v>
      </c>
      <c r="J12" s="214" t="s">
        <v>692</v>
      </c>
      <c r="K12" s="209" t="s">
        <v>1</v>
      </c>
      <c r="L12" s="17">
        <v>5</v>
      </c>
      <c r="M12" s="17">
        <v>6</v>
      </c>
      <c r="N12" s="210">
        <f>L12/M12*100</f>
        <v>83.333333333333343</v>
      </c>
      <c r="O12" s="9"/>
      <c r="P12" s="9"/>
      <c r="Q12" s="9" t="s">
        <v>36</v>
      </c>
      <c r="R12" s="502">
        <v>0.1429</v>
      </c>
      <c r="S12" s="2">
        <v>0.4</v>
      </c>
      <c r="T12" s="1" t="s">
        <v>339</v>
      </c>
    </row>
    <row r="13" spans="1:20" x14ac:dyDescent="0.2">
      <c r="B13" s="11" t="s">
        <v>34</v>
      </c>
      <c r="C13" s="218">
        <v>1</v>
      </c>
      <c r="D13" s="218">
        <v>1</v>
      </c>
      <c r="E13" s="218">
        <v>0.5</v>
      </c>
      <c r="F13" s="17">
        <v>1</v>
      </c>
      <c r="G13" s="218">
        <v>0.2</v>
      </c>
      <c r="H13" s="17">
        <v>1</v>
      </c>
      <c r="J13" s="211"/>
      <c r="K13" s="209" t="s">
        <v>296</v>
      </c>
      <c r="L13" s="17">
        <v>9</v>
      </c>
      <c r="M13" s="17">
        <v>9</v>
      </c>
      <c r="N13" s="210">
        <f>L13/M13*100</f>
        <v>100</v>
      </c>
      <c r="O13" s="9"/>
      <c r="P13" s="9"/>
      <c r="Q13" s="9" t="s">
        <v>37</v>
      </c>
      <c r="R13" s="502" t="s">
        <v>9</v>
      </c>
      <c r="S13" s="1" t="s">
        <v>9</v>
      </c>
      <c r="T13" s="1" t="s">
        <v>9</v>
      </c>
    </row>
    <row r="14" spans="1:20" x14ac:dyDescent="0.2">
      <c r="B14" s="9"/>
      <c r="C14" s="9"/>
      <c r="D14" s="9"/>
      <c r="E14" s="9"/>
      <c r="F14" s="9"/>
      <c r="G14" s="9"/>
      <c r="H14" s="9"/>
      <c r="J14" s="214" t="s">
        <v>693</v>
      </c>
      <c r="K14" s="209" t="s">
        <v>1</v>
      </c>
      <c r="L14" s="17">
        <v>6</v>
      </c>
      <c r="M14" s="17">
        <v>6</v>
      </c>
      <c r="N14" s="210">
        <v>100</v>
      </c>
      <c r="O14" s="9"/>
      <c r="P14" s="9"/>
      <c r="Q14" s="9" t="s">
        <v>1114</v>
      </c>
      <c r="R14" s="502" t="s">
        <v>1115</v>
      </c>
      <c r="S14" s="1" t="s">
        <v>1115</v>
      </c>
      <c r="T14" s="1" t="s">
        <v>1115</v>
      </c>
    </row>
    <row r="15" spans="1:20" x14ac:dyDescent="0.2">
      <c r="B15" s="9"/>
      <c r="C15" s="9"/>
      <c r="D15" s="9"/>
      <c r="E15" s="9"/>
      <c r="F15" s="9"/>
      <c r="G15" s="9"/>
      <c r="H15" s="9"/>
      <c r="J15" s="198"/>
      <c r="K15" s="197" t="s">
        <v>296</v>
      </c>
      <c r="L15" s="34">
        <v>9</v>
      </c>
      <c r="M15" s="34">
        <v>9</v>
      </c>
      <c r="N15" s="199">
        <v>100</v>
      </c>
      <c r="Q15" s="9" t="s">
        <v>1116</v>
      </c>
      <c r="R15" s="502" t="s">
        <v>49</v>
      </c>
      <c r="S15" s="1" t="s">
        <v>49</v>
      </c>
      <c r="T15" s="1" t="s">
        <v>49</v>
      </c>
    </row>
    <row r="16" spans="1:20" x14ac:dyDescent="0.2">
      <c r="B16" s="177" t="s">
        <v>938</v>
      </c>
      <c r="C16" s="152" t="s">
        <v>684</v>
      </c>
      <c r="D16" s="152" t="s">
        <v>685</v>
      </c>
      <c r="E16" s="152" t="s">
        <v>686</v>
      </c>
      <c r="F16" s="152" t="s">
        <v>687</v>
      </c>
      <c r="G16" s="152" t="s">
        <v>688</v>
      </c>
      <c r="H16" s="152" t="s">
        <v>689</v>
      </c>
      <c r="J16" s="166"/>
    </row>
    <row r="17" spans="1:20" x14ac:dyDescent="0.2">
      <c r="A17" s="201"/>
      <c r="B17" s="11" t="s">
        <v>32</v>
      </c>
      <c r="C17" s="218">
        <v>0.2</v>
      </c>
      <c r="D17" s="218">
        <v>2</v>
      </c>
      <c r="E17" s="218">
        <v>0.2</v>
      </c>
      <c r="F17" s="17">
        <v>2</v>
      </c>
      <c r="G17" s="218">
        <v>0.2</v>
      </c>
      <c r="H17" s="17">
        <v>2</v>
      </c>
      <c r="I17" s="201"/>
      <c r="J17" s="166"/>
    </row>
    <row r="18" spans="1:20" x14ac:dyDescent="0.2">
      <c r="A18" s="201"/>
      <c r="B18" s="11" t="s">
        <v>33</v>
      </c>
      <c r="C18" s="218">
        <v>0.2</v>
      </c>
      <c r="D18" s="218">
        <v>2</v>
      </c>
      <c r="E18" s="218">
        <v>0.2</v>
      </c>
      <c r="F18" s="17">
        <v>2</v>
      </c>
      <c r="G18" s="218">
        <v>0.2</v>
      </c>
      <c r="H18" s="17">
        <v>1.5</v>
      </c>
      <c r="I18" s="201"/>
      <c r="J18" s="42"/>
      <c r="K18" s="9"/>
      <c r="L18" s="9"/>
      <c r="M18" s="9"/>
      <c r="N18" s="9"/>
      <c r="O18" s="9"/>
      <c r="P18" s="9"/>
    </row>
    <row r="19" spans="1:20" x14ac:dyDescent="0.2">
      <c r="A19" s="201"/>
      <c r="B19" s="11" t="s">
        <v>34</v>
      </c>
      <c r="C19" s="218">
        <v>0.2</v>
      </c>
      <c r="D19" s="218">
        <v>2</v>
      </c>
      <c r="E19" s="218">
        <v>0.2</v>
      </c>
      <c r="F19" s="17">
        <v>2</v>
      </c>
      <c r="G19" s="218">
        <v>0.2</v>
      </c>
      <c r="H19" s="17">
        <v>2</v>
      </c>
      <c r="I19" s="201"/>
      <c r="J19" s="42"/>
      <c r="K19" s="9"/>
      <c r="L19" s="203"/>
      <c r="M19" s="204" t="s">
        <v>298</v>
      </c>
      <c r="N19" s="205"/>
      <c r="O19" s="9"/>
      <c r="P19" s="9"/>
      <c r="Q19" s="2" t="s">
        <v>1067</v>
      </c>
      <c r="R19" s="1" t="s">
        <v>1117</v>
      </c>
      <c r="S19" s="1" t="s">
        <v>1118</v>
      </c>
      <c r="T19" s="2" t="s">
        <v>1119</v>
      </c>
    </row>
    <row r="20" spans="1:20" x14ac:dyDescent="0.2">
      <c r="B20" s="9"/>
      <c r="C20" s="9"/>
      <c r="D20" s="9"/>
      <c r="E20" s="9"/>
      <c r="F20" s="9"/>
      <c r="G20" s="9"/>
      <c r="H20" s="9"/>
      <c r="J20" s="42"/>
      <c r="K20" s="9"/>
      <c r="L20" s="207" t="s">
        <v>709</v>
      </c>
      <c r="M20" s="207" t="s">
        <v>710</v>
      </c>
      <c r="N20" s="207" t="s">
        <v>711</v>
      </c>
      <c r="O20" s="9"/>
      <c r="P20" s="9"/>
      <c r="Q20" s="2"/>
      <c r="R20" s="1"/>
      <c r="S20" s="1"/>
      <c r="T20" s="2"/>
    </row>
    <row r="21" spans="1:20" x14ac:dyDescent="0.2">
      <c r="B21" s="217"/>
      <c r="C21" s="216"/>
      <c r="D21" s="216"/>
      <c r="E21" s="216"/>
      <c r="F21" s="216"/>
      <c r="G21" s="216"/>
      <c r="H21" s="216"/>
      <c r="J21" s="208" t="s">
        <v>690</v>
      </c>
      <c r="K21" s="209" t="s">
        <v>1</v>
      </c>
      <c r="L21" s="17">
        <v>5</v>
      </c>
      <c r="M21" s="17">
        <v>6</v>
      </c>
      <c r="N21" s="210">
        <f>L21/M21*100</f>
        <v>83.333333333333343</v>
      </c>
      <c r="O21" s="9"/>
      <c r="P21" s="9"/>
      <c r="Q21" s="2" t="s">
        <v>1111</v>
      </c>
      <c r="R21" s="1"/>
      <c r="S21" s="1"/>
      <c r="T21" s="2"/>
    </row>
    <row r="22" spans="1:20" x14ac:dyDescent="0.2">
      <c r="B22" s="217"/>
      <c r="C22" s="215"/>
      <c r="D22" s="215"/>
      <c r="E22" s="215"/>
      <c r="F22" s="215"/>
      <c r="G22" s="215"/>
      <c r="H22" s="215"/>
      <c r="I22" s="202"/>
      <c r="J22" s="211"/>
      <c r="K22" s="212" t="s">
        <v>296</v>
      </c>
      <c r="L22" s="17">
        <v>8</v>
      </c>
      <c r="M22" s="17">
        <v>9</v>
      </c>
      <c r="N22" s="213">
        <f>L22/M22*100</f>
        <v>88.888888888888886</v>
      </c>
      <c r="O22" s="9"/>
      <c r="P22" s="9"/>
      <c r="Q22" s="2" t="s">
        <v>1112</v>
      </c>
      <c r="R22" s="1" t="s">
        <v>1113</v>
      </c>
      <c r="S22" s="1" t="s">
        <v>1113</v>
      </c>
      <c r="T22" s="2" t="s">
        <v>1113</v>
      </c>
    </row>
    <row r="23" spans="1:20" x14ac:dyDescent="0.2">
      <c r="B23" s="17" t="s">
        <v>51</v>
      </c>
      <c r="C23" s="218">
        <f>AVERAGE(C11:C13,C17:C19)</f>
        <v>0.38333333333333336</v>
      </c>
      <c r="D23" s="218">
        <f t="shared" ref="D23:H23" si="0">AVERAGE(D11:D13,D17:D19)</f>
        <v>1.75</v>
      </c>
      <c r="E23" s="218">
        <f t="shared" si="0"/>
        <v>0.25</v>
      </c>
      <c r="F23" s="218">
        <f t="shared" si="0"/>
        <v>1.8333333333333333</v>
      </c>
      <c r="G23" s="218">
        <f t="shared" si="0"/>
        <v>0.19999999999999998</v>
      </c>
      <c r="H23" s="218">
        <f t="shared" si="0"/>
        <v>1.6666666666666667</v>
      </c>
      <c r="J23" s="214" t="s">
        <v>692</v>
      </c>
      <c r="K23" s="209" t="s">
        <v>1</v>
      </c>
      <c r="L23" s="17">
        <v>6</v>
      </c>
      <c r="M23" s="17">
        <v>6</v>
      </c>
      <c r="N23" s="213">
        <f t="shared" ref="N23:N26" si="1">L23/M23*100</f>
        <v>100</v>
      </c>
      <c r="O23" s="9"/>
      <c r="P23" s="9"/>
      <c r="Q23" s="2" t="s">
        <v>36</v>
      </c>
      <c r="R23" s="1" t="s">
        <v>339</v>
      </c>
      <c r="S23" s="1" t="s">
        <v>339</v>
      </c>
      <c r="T23" s="2">
        <v>0.1033</v>
      </c>
    </row>
    <row r="24" spans="1:20" x14ac:dyDescent="0.2">
      <c r="B24" s="17" t="s">
        <v>13</v>
      </c>
      <c r="C24" s="13">
        <f>STDEV(C11:C13,C17:C19)</f>
        <v>0.32506409624359728</v>
      </c>
      <c r="D24" s="13">
        <f t="shared" ref="D24:H24" si="2">STDEV(D11:D13,D17:D19)</f>
        <v>0.41833001326703778</v>
      </c>
      <c r="E24" s="13">
        <f t="shared" si="2"/>
        <v>0.12247448713915896</v>
      </c>
      <c r="F24" s="13">
        <f t="shared" si="2"/>
        <v>0.40824829046386274</v>
      </c>
      <c r="G24" s="13">
        <f t="shared" si="2"/>
        <v>3.0404709722440586E-17</v>
      </c>
      <c r="H24" s="13">
        <f t="shared" si="2"/>
        <v>0.40824829046386274</v>
      </c>
      <c r="J24" s="211"/>
      <c r="K24" s="209" t="s">
        <v>296</v>
      </c>
      <c r="L24" s="17">
        <v>9</v>
      </c>
      <c r="M24" s="17">
        <v>9</v>
      </c>
      <c r="N24" s="213">
        <f t="shared" si="1"/>
        <v>100</v>
      </c>
      <c r="O24" s="9"/>
      <c r="P24" s="9"/>
      <c r="Q24" s="2" t="s">
        <v>37</v>
      </c>
      <c r="R24" s="1" t="s">
        <v>9</v>
      </c>
      <c r="S24" s="1" t="s">
        <v>9</v>
      </c>
      <c r="T24" s="2" t="s">
        <v>9</v>
      </c>
    </row>
    <row r="25" spans="1:20" x14ac:dyDescent="0.2">
      <c r="B25" s="17" t="s">
        <v>694</v>
      </c>
      <c r="C25" s="83">
        <f t="shared" ref="C25:H25" si="3">COUNT(C11:C21)</f>
        <v>6</v>
      </c>
      <c r="D25" s="83">
        <f t="shared" si="3"/>
        <v>6</v>
      </c>
      <c r="E25" s="83">
        <f t="shared" si="3"/>
        <v>6</v>
      </c>
      <c r="F25" s="83">
        <f t="shared" si="3"/>
        <v>6</v>
      </c>
      <c r="G25" s="83">
        <f t="shared" si="3"/>
        <v>6</v>
      </c>
      <c r="H25" s="83">
        <f t="shared" si="3"/>
        <v>6</v>
      </c>
      <c r="J25" s="214" t="s">
        <v>693</v>
      </c>
      <c r="K25" s="209" t="s">
        <v>1</v>
      </c>
      <c r="L25" s="17">
        <v>6</v>
      </c>
      <c r="M25" s="17">
        <v>6</v>
      </c>
      <c r="N25" s="213">
        <f t="shared" si="1"/>
        <v>100</v>
      </c>
      <c r="O25" s="9"/>
      <c r="P25" s="9"/>
      <c r="Q25" s="2" t="s">
        <v>1114</v>
      </c>
      <c r="R25" s="1" t="s">
        <v>1115</v>
      </c>
      <c r="S25" s="1" t="s">
        <v>1115</v>
      </c>
      <c r="T25" s="2" t="s">
        <v>1115</v>
      </c>
    </row>
    <row r="26" spans="1:20" x14ac:dyDescent="0.2">
      <c r="B26" s="17" t="s">
        <v>14</v>
      </c>
      <c r="C26" s="13">
        <f>C24/SQRT(6)</f>
        <v>0.13270686158262923</v>
      </c>
      <c r="D26" s="13">
        <f t="shared" ref="D26:G26" si="4">D24/SQRT(6)</f>
        <v>0.17078251276599332</v>
      </c>
      <c r="E26" s="13">
        <f t="shared" si="4"/>
        <v>5.0000000000000024E-2</v>
      </c>
      <c r="F26" s="13">
        <f>F24/SQRT(6)</f>
        <v>0.16666666666666657</v>
      </c>
      <c r="G26" s="13">
        <f t="shared" si="4"/>
        <v>1.2412670766236365E-17</v>
      </c>
      <c r="H26" s="13">
        <f>H24/SQRT(6)</f>
        <v>0.16666666666666657</v>
      </c>
      <c r="J26" s="211"/>
      <c r="K26" s="209" t="s">
        <v>296</v>
      </c>
      <c r="L26" s="17">
        <v>5</v>
      </c>
      <c r="M26" s="17">
        <v>9</v>
      </c>
      <c r="N26" s="213">
        <f t="shared" si="1"/>
        <v>55.555555555555557</v>
      </c>
      <c r="O26" s="9"/>
      <c r="P26" s="9"/>
      <c r="Q26" s="2" t="s">
        <v>1116</v>
      </c>
      <c r="R26" s="1" t="s">
        <v>49</v>
      </c>
      <c r="S26" s="1" t="s">
        <v>49</v>
      </c>
      <c r="T26" s="2" t="s">
        <v>49</v>
      </c>
    </row>
    <row r="27" spans="1:20" x14ac:dyDescent="0.2">
      <c r="B27" s="9"/>
      <c r="C27" s="9"/>
      <c r="D27" s="9"/>
      <c r="E27" s="9"/>
      <c r="F27" s="9"/>
      <c r="G27" s="9"/>
      <c r="H27" s="9"/>
      <c r="J27" s="42"/>
      <c r="K27" s="9"/>
      <c r="L27" s="9"/>
      <c r="M27" s="9"/>
      <c r="N27" s="9"/>
      <c r="O27" s="9"/>
      <c r="P27" s="9"/>
    </row>
    <row r="28" spans="1:20" x14ac:dyDescent="0.2">
      <c r="B28" s="217"/>
      <c r="C28" s="9"/>
      <c r="D28" s="9"/>
      <c r="E28" s="9"/>
      <c r="F28" s="9"/>
      <c r="G28" s="9"/>
      <c r="H28" s="9"/>
      <c r="J28" s="42"/>
      <c r="K28" s="9"/>
      <c r="L28" s="9"/>
      <c r="M28" s="9"/>
      <c r="N28" s="9"/>
      <c r="O28" s="9"/>
      <c r="P28" s="9"/>
    </row>
    <row r="29" spans="1:20" x14ac:dyDescent="0.2">
      <c r="B29" s="209" t="s">
        <v>296</v>
      </c>
      <c r="C29" s="9"/>
      <c r="D29" s="9"/>
      <c r="E29" s="9"/>
      <c r="F29" s="9"/>
      <c r="G29" s="9"/>
      <c r="H29" s="9"/>
      <c r="J29" s="42"/>
      <c r="K29" s="9"/>
      <c r="L29" s="9"/>
      <c r="M29" s="9"/>
      <c r="N29" s="9"/>
      <c r="O29" s="9"/>
      <c r="P29" s="9"/>
    </row>
    <row r="30" spans="1:20" x14ac:dyDescent="0.2">
      <c r="C30" s="9"/>
      <c r="D30" s="9"/>
      <c r="E30" s="9"/>
      <c r="F30" s="9"/>
      <c r="G30" s="9"/>
      <c r="H30" s="9"/>
      <c r="J30" s="42"/>
      <c r="K30" s="9"/>
      <c r="L30" s="203"/>
      <c r="M30" s="204" t="s">
        <v>695</v>
      </c>
      <c r="N30" s="205"/>
      <c r="O30" s="9"/>
      <c r="P30" s="9"/>
      <c r="Q30" s="2" t="s">
        <v>1067</v>
      </c>
      <c r="R30" s="1" t="s">
        <v>1120</v>
      </c>
      <c r="S30" s="2" t="s">
        <v>1121</v>
      </c>
      <c r="T30" s="2" t="s">
        <v>1122</v>
      </c>
    </row>
    <row r="31" spans="1:20" x14ac:dyDescent="0.2">
      <c r="B31" s="9" t="s">
        <v>681</v>
      </c>
      <c r="C31" s="9"/>
      <c r="D31" s="9"/>
      <c r="E31" s="9"/>
      <c r="F31" s="9"/>
      <c r="G31" s="9"/>
      <c r="H31" s="9"/>
      <c r="J31" s="42"/>
      <c r="K31" s="9"/>
      <c r="L31" s="207" t="s">
        <v>709</v>
      </c>
      <c r="M31" s="207" t="s">
        <v>710</v>
      </c>
      <c r="N31" s="207" t="s">
        <v>711</v>
      </c>
      <c r="O31" s="9"/>
      <c r="P31" s="9"/>
      <c r="Q31" s="2"/>
      <c r="R31" s="1"/>
      <c r="S31" s="2"/>
      <c r="T31" s="2"/>
    </row>
    <row r="32" spans="1:20" x14ac:dyDescent="0.2">
      <c r="B32" s="177" t="s">
        <v>663</v>
      </c>
      <c r="C32" s="152" t="s">
        <v>684</v>
      </c>
      <c r="D32" s="152" t="s">
        <v>685</v>
      </c>
      <c r="E32" s="152" t="s">
        <v>686</v>
      </c>
      <c r="F32" s="152" t="s">
        <v>687</v>
      </c>
      <c r="G32" s="152" t="s">
        <v>688</v>
      </c>
      <c r="H32" s="152" t="s">
        <v>689</v>
      </c>
      <c r="J32" s="208" t="s">
        <v>690</v>
      </c>
      <c r="K32" s="209" t="s">
        <v>1</v>
      </c>
      <c r="L32" s="17">
        <v>6</v>
      </c>
      <c r="M32" s="17">
        <v>6</v>
      </c>
      <c r="N32" s="210">
        <v>100</v>
      </c>
      <c r="O32" s="9"/>
      <c r="P32" s="9"/>
      <c r="Q32" s="2" t="s">
        <v>1111</v>
      </c>
      <c r="R32" s="1"/>
      <c r="S32" s="2"/>
      <c r="T32" s="2"/>
    </row>
    <row r="33" spans="1:20" x14ac:dyDescent="0.2">
      <c r="B33" s="11" t="s">
        <v>32</v>
      </c>
      <c r="C33" s="17">
        <v>0.2</v>
      </c>
      <c r="D33" s="17">
        <v>1</v>
      </c>
      <c r="E33" s="17">
        <v>0.2</v>
      </c>
      <c r="F33" s="17">
        <v>1</v>
      </c>
      <c r="G33" s="17">
        <v>0.2</v>
      </c>
      <c r="H33" s="17">
        <v>0.5</v>
      </c>
      <c r="J33" s="211"/>
      <c r="K33" s="212" t="s">
        <v>296</v>
      </c>
      <c r="L33" s="17">
        <v>7</v>
      </c>
      <c r="M33" s="17">
        <v>9</v>
      </c>
      <c r="N33" s="213">
        <f>L33/M33*100</f>
        <v>77.777777777777786</v>
      </c>
      <c r="O33" s="9"/>
      <c r="P33" s="9"/>
      <c r="Q33" s="2" t="s">
        <v>1112</v>
      </c>
      <c r="R33" s="2" t="s">
        <v>1113</v>
      </c>
      <c r="S33" s="2" t="s">
        <v>1113</v>
      </c>
      <c r="T33" s="2" t="s">
        <v>1113</v>
      </c>
    </row>
    <row r="34" spans="1:20" x14ac:dyDescent="0.2">
      <c r="B34" s="11" t="s">
        <v>33</v>
      </c>
      <c r="C34" s="17">
        <v>0.2</v>
      </c>
      <c r="D34" s="17">
        <v>1.5</v>
      </c>
      <c r="E34" s="17">
        <v>0.2</v>
      </c>
      <c r="F34" s="17">
        <v>1.5</v>
      </c>
      <c r="G34" s="17">
        <v>0.2</v>
      </c>
      <c r="H34" s="17">
        <v>0.5</v>
      </c>
      <c r="J34" s="214" t="s">
        <v>692</v>
      </c>
      <c r="K34" s="209" t="s">
        <v>1</v>
      </c>
      <c r="L34" s="17">
        <v>6</v>
      </c>
      <c r="M34" s="17">
        <v>6</v>
      </c>
      <c r="N34" s="213">
        <v>100</v>
      </c>
      <c r="O34" s="9"/>
      <c r="P34" s="9"/>
      <c r="Q34" s="2" t="s">
        <v>36</v>
      </c>
      <c r="R34" s="2">
        <v>0.48570000000000002</v>
      </c>
      <c r="S34" s="2">
        <v>0.1033</v>
      </c>
      <c r="T34" s="2">
        <v>1.4E-3</v>
      </c>
    </row>
    <row r="35" spans="1:20" x14ac:dyDescent="0.2">
      <c r="B35" s="11" t="s">
        <v>34</v>
      </c>
      <c r="C35" s="17">
        <v>0.2</v>
      </c>
      <c r="D35" s="17">
        <v>1</v>
      </c>
      <c r="E35" s="17">
        <v>0.2</v>
      </c>
      <c r="F35" s="17">
        <v>0.5</v>
      </c>
      <c r="G35" s="17">
        <v>0.2</v>
      </c>
      <c r="H35" s="17">
        <v>0.2</v>
      </c>
      <c r="J35" s="211"/>
      <c r="K35" s="209" t="s">
        <v>296</v>
      </c>
      <c r="L35" s="17">
        <v>5</v>
      </c>
      <c r="M35" s="17">
        <v>9</v>
      </c>
      <c r="N35" s="213">
        <f>L35/M35*100</f>
        <v>55.555555555555557</v>
      </c>
      <c r="O35" s="9"/>
      <c r="P35" s="9"/>
      <c r="Q35" s="2" t="s">
        <v>37</v>
      </c>
      <c r="R35" s="2" t="s">
        <v>9</v>
      </c>
      <c r="S35" s="2" t="s">
        <v>9</v>
      </c>
      <c r="T35" s="2" t="s">
        <v>11</v>
      </c>
    </row>
    <row r="36" spans="1:20" x14ac:dyDescent="0.2">
      <c r="B36" s="9"/>
      <c r="C36" s="9"/>
      <c r="D36" s="9"/>
      <c r="E36" s="9"/>
      <c r="F36" s="9"/>
      <c r="G36" s="9"/>
      <c r="H36" s="9"/>
      <c r="J36" s="214" t="s">
        <v>693</v>
      </c>
      <c r="K36" s="209" t="s">
        <v>1</v>
      </c>
      <c r="L36" s="17">
        <v>6</v>
      </c>
      <c r="M36" s="17">
        <v>6</v>
      </c>
      <c r="N36" s="213">
        <v>100</v>
      </c>
      <c r="O36" s="9"/>
      <c r="P36" s="9"/>
      <c r="Q36" s="2" t="s">
        <v>1114</v>
      </c>
      <c r="R36" s="2" t="s">
        <v>1115</v>
      </c>
      <c r="S36" s="2" t="s">
        <v>1115</v>
      </c>
      <c r="T36" s="2" t="s">
        <v>1115</v>
      </c>
    </row>
    <row r="37" spans="1:20" x14ac:dyDescent="0.2">
      <c r="B37" s="9"/>
      <c r="C37" s="9"/>
      <c r="D37" s="9"/>
      <c r="E37" s="9"/>
      <c r="F37" s="9"/>
      <c r="G37" s="9"/>
      <c r="H37" s="9"/>
      <c r="J37" s="211"/>
      <c r="K37" s="209" t="s">
        <v>296</v>
      </c>
      <c r="L37" s="17">
        <v>1</v>
      </c>
      <c r="M37" s="17">
        <v>9</v>
      </c>
      <c r="N37" s="213">
        <f>L37/M37*100</f>
        <v>11.111111111111111</v>
      </c>
      <c r="O37" s="9"/>
      <c r="P37" s="9"/>
      <c r="Q37" s="2" t="s">
        <v>1116</v>
      </c>
      <c r="R37" s="2" t="s">
        <v>49</v>
      </c>
      <c r="S37" s="2" t="s">
        <v>49</v>
      </c>
      <c r="T37" s="2" t="s">
        <v>41</v>
      </c>
    </row>
    <row r="38" spans="1:20" x14ac:dyDescent="0.2">
      <c r="B38" s="177" t="s">
        <v>664</v>
      </c>
      <c r="C38" s="152" t="s">
        <v>684</v>
      </c>
      <c r="D38" s="152" t="s">
        <v>685</v>
      </c>
      <c r="E38" s="152" t="s">
        <v>686</v>
      </c>
      <c r="F38" s="152" t="s">
        <v>687</v>
      </c>
      <c r="G38" s="152" t="s">
        <v>688</v>
      </c>
      <c r="H38" s="152" t="s">
        <v>689</v>
      </c>
      <c r="J38" s="42"/>
      <c r="K38" s="9"/>
      <c r="L38" s="9"/>
      <c r="M38" s="9"/>
      <c r="N38" s="9"/>
      <c r="O38" s="9"/>
      <c r="P38" s="9"/>
    </row>
    <row r="39" spans="1:20" x14ac:dyDescent="0.2">
      <c r="B39" s="11" t="s">
        <v>32</v>
      </c>
      <c r="C39" s="17">
        <v>0.2</v>
      </c>
      <c r="D39" s="17">
        <v>1</v>
      </c>
      <c r="E39" s="17">
        <v>0.2</v>
      </c>
      <c r="F39" s="17">
        <v>0.5</v>
      </c>
      <c r="G39" s="17">
        <v>0.2</v>
      </c>
      <c r="H39" s="17">
        <v>0.2</v>
      </c>
      <c r="J39" s="42"/>
      <c r="K39" s="9"/>
      <c r="L39" s="9"/>
      <c r="M39" s="9"/>
      <c r="N39" s="9"/>
      <c r="O39" s="9"/>
      <c r="P39" s="9"/>
    </row>
    <row r="40" spans="1:20" x14ac:dyDescent="0.2">
      <c r="B40" s="11" t="s">
        <v>33</v>
      </c>
      <c r="C40" s="17">
        <v>0.2</v>
      </c>
      <c r="D40" s="17">
        <v>1</v>
      </c>
      <c r="E40" s="17">
        <v>0.2</v>
      </c>
      <c r="F40" s="17">
        <v>1</v>
      </c>
      <c r="G40" s="17">
        <v>0.2</v>
      </c>
      <c r="H40" s="17">
        <v>0.5</v>
      </c>
      <c r="J40" s="42"/>
      <c r="K40" s="9"/>
      <c r="L40" s="9"/>
      <c r="M40" s="9"/>
      <c r="N40" s="9"/>
      <c r="O40" s="9"/>
      <c r="P40" s="9"/>
    </row>
    <row r="41" spans="1:20" x14ac:dyDescent="0.2">
      <c r="B41" s="11" t="s">
        <v>34</v>
      </c>
      <c r="C41" s="17">
        <v>0.2</v>
      </c>
      <c r="D41" s="17">
        <v>0.2</v>
      </c>
      <c r="E41" s="17">
        <v>0.2</v>
      </c>
      <c r="F41" s="17">
        <v>1</v>
      </c>
      <c r="G41" s="17">
        <v>0.2</v>
      </c>
      <c r="H41" s="17">
        <v>0.2</v>
      </c>
      <c r="J41" s="42"/>
      <c r="K41" s="9"/>
      <c r="L41" s="203"/>
      <c r="M41" s="204" t="s">
        <v>696</v>
      </c>
      <c r="N41" s="205"/>
      <c r="O41" s="9"/>
      <c r="P41" s="9"/>
      <c r="Q41" s="2" t="s">
        <v>1067</v>
      </c>
      <c r="R41" s="1" t="s">
        <v>1123</v>
      </c>
      <c r="S41" s="2" t="s">
        <v>1124</v>
      </c>
      <c r="T41" s="2" t="s">
        <v>1125</v>
      </c>
    </row>
    <row r="42" spans="1:20" x14ac:dyDescent="0.2">
      <c r="A42" s="101"/>
      <c r="B42" s="9"/>
      <c r="C42" s="9"/>
      <c r="D42" s="9"/>
      <c r="E42" s="9"/>
      <c r="F42" s="9"/>
      <c r="G42" s="9"/>
      <c r="H42" s="9"/>
      <c r="J42" s="42"/>
      <c r="K42" s="9"/>
      <c r="L42" s="207" t="s">
        <v>709</v>
      </c>
      <c r="M42" s="207" t="s">
        <v>710</v>
      </c>
      <c r="N42" s="207" t="s">
        <v>711</v>
      </c>
      <c r="O42" s="9"/>
      <c r="P42" s="9"/>
      <c r="Q42" s="2"/>
      <c r="R42" s="1"/>
      <c r="S42" s="2"/>
      <c r="T42" s="2"/>
    </row>
    <row r="43" spans="1:20" x14ac:dyDescent="0.2">
      <c r="A43" s="101"/>
      <c r="B43" s="9"/>
      <c r="C43" s="9"/>
      <c r="D43" s="9"/>
      <c r="E43" s="9"/>
      <c r="F43" s="9"/>
      <c r="G43" s="9"/>
      <c r="H43" s="9"/>
      <c r="J43" s="208" t="s">
        <v>690</v>
      </c>
      <c r="K43" s="209" t="s">
        <v>1</v>
      </c>
      <c r="L43" s="17">
        <v>5</v>
      </c>
      <c r="M43" s="17">
        <v>6</v>
      </c>
      <c r="N43" s="210">
        <f>L43/M43*100</f>
        <v>83.333333333333343</v>
      </c>
      <c r="O43" s="9"/>
      <c r="P43" s="9"/>
      <c r="Q43" s="2" t="s">
        <v>1111</v>
      </c>
      <c r="R43" s="2"/>
      <c r="S43" s="2"/>
      <c r="T43" s="2"/>
    </row>
    <row r="44" spans="1:20" x14ac:dyDescent="0.2">
      <c r="B44" s="177" t="s">
        <v>712</v>
      </c>
      <c r="C44" s="152" t="s">
        <v>684</v>
      </c>
      <c r="D44" s="152" t="s">
        <v>685</v>
      </c>
      <c r="E44" s="152" t="s">
        <v>686</v>
      </c>
      <c r="F44" s="152" t="s">
        <v>687</v>
      </c>
      <c r="G44" s="152" t="s">
        <v>688</v>
      </c>
      <c r="H44" s="152" t="s">
        <v>689</v>
      </c>
      <c r="J44" s="211"/>
      <c r="K44" s="212" t="s">
        <v>296</v>
      </c>
      <c r="L44" s="17">
        <v>2</v>
      </c>
      <c r="M44" s="17">
        <v>9</v>
      </c>
      <c r="N44" s="213">
        <f>L44/M44*100</f>
        <v>22.222222222222221</v>
      </c>
      <c r="O44" s="9"/>
      <c r="P44" s="9"/>
      <c r="Q44" s="2" t="s">
        <v>1112</v>
      </c>
      <c r="R44" s="2" t="s">
        <v>1113</v>
      </c>
      <c r="S44" s="2" t="s">
        <v>1113</v>
      </c>
      <c r="T44" s="2" t="s">
        <v>1113</v>
      </c>
    </row>
    <row r="45" spans="1:20" x14ac:dyDescent="0.2">
      <c r="B45" s="11" t="s">
        <v>32</v>
      </c>
      <c r="C45" s="17">
        <v>0.2</v>
      </c>
      <c r="D45" s="17">
        <v>2</v>
      </c>
      <c r="E45" s="17">
        <v>0.2</v>
      </c>
      <c r="F45" s="17">
        <v>0.5</v>
      </c>
      <c r="G45" s="17">
        <v>0.2</v>
      </c>
      <c r="H45" s="17">
        <v>0.2</v>
      </c>
      <c r="J45" s="214" t="s">
        <v>692</v>
      </c>
      <c r="K45" s="209" t="s">
        <v>1</v>
      </c>
      <c r="L45" s="17">
        <v>5</v>
      </c>
      <c r="M45" s="17">
        <v>6</v>
      </c>
      <c r="N45" s="213">
        <f>L45/M45*100</f>
        <v>83.333333333333343</v>
      </c>
      <c r="O45" s="9"/>
      <c r="P45" s="9"/>
      <c r="Q45" s="2" t="s">
        <v>36</v>
      </c>
      <c r="R45" s="2">
        <v>4.0599999999999997E-2</v>
      </c>
      <c r="S45" s="2">
        <v>4.0599999999999997E-2</v>
      </c>
      <c r="T45" s="2">
        <v>2E-3</v>
      </c>
    </row>
    <row r="46" spans="1:20" x14ac:dyDescent="0.2">
      <c r="B46" s="11" t="s">
        <v>33</v>
      </c>
      <c r="C46" s="17">
        <v>0.2</v>
      </c>
      <c r="D46" s="17">
        <v>1</v>
      </c>
      <c r="E46" s="17">
        <v>0.2</v>
      </c>
      <c r="F46" s="17">
        <v>2</v>
      </c>
      <c r="G46" s="17">
        <v>0.2</v>
      </c>
      <c r="H46" s="17">
        <v>1</v>
      </c>
      <c r="J46" s="211"/>
      <c r="K46" s="209" t="s">
        <v>296</v>
      </c>
      <c r="L46" s="17">
        <v>2</v>
      </c>
      <c r="M46" s="17">
        <v>9</v>
      </c>
      <c r="N46" s="213">
        <v>22.2</v>
      </c>
      <c r="O46" s="9"/>
      <c r="P46" s="9"/>
      <c r="Q46" s="2" t="s">
        <v>37</v>
      </c>
      <c r="R46" s="2" t="s">
        <v>12</v>
      </c>
      <c r="S46" s="2" t="s">
        <v>12</v>
      </c>
      <c r="T46" s="2" t="s">
        <v>11</v>
      </c>
    </row>
    <row r="47" spans="1:20" x14ac:dyDescent="0.2">
      <c r="B47" s="11" t="s">
        <v>34</v>
      </c>
      <c r="C47" s="17">
        <v>0.2</v>
      </c>
      <c r="D47" s="17">
        <v>0.5</v>
      </c>
      <c r="E47" s="17">
        <v>0.2</v>
      </c>
      <c r="F47" s="17">
        <v>0.5</v>
      </c>
      <c r="G47" s="17">
        <v>0.2</v>
      </c>
      <c r="H47" s="17">
        <v>0.5</v>
      </c>
      <c r="J47" s="214" t="s">
        <v>693</v>
      </c>
      <c r="K47" s="209" t="s">
        <v>1</v>
      </c>
      <c r="L47" s="17">
        <v>5</v>
      </c>
      <c r="M47" s="17">
        <v>6</v>
      </c>
      <c r="N47" s="213">
        <v>83</v>
      </c>
      <c r="O47" s="9"/>
      <c r="P47" s="9"/>
      <c r="Q47" s="2" t="s">
        <v>1114</v>
      </c>
      <c r="R47" s="2" t="s">
        <v>1115</v>
      </c>
      <c r="S47" s="2" t="s">
        <v>1115</v>
      </c>
      <c r="T47" s="2" t="s">
        <v>1115</v>
      </c>
    </row>
    <row r="48" spans="1:20" x14ac:dyDescent="0.2">
      <c r="B48" s="9"/>
      <c r="C48" s="9"/>
      <c r="D48" s="9"/>
      <c r="E48" s="9"/>
      <c r="F48" s="9"/>
      <c r="G48" s="9"/>
      <c r="H48" s="9"/>
      <c r="J48" s="211"/>
      <c r="K48" s="209" t="s">
        <v>296</v>
      </c>
      <c r="L48" s="17">
        <v>0</v>
      </c>
      <c r="M48" s="17">
        <v>9</v>
      </c>
      <c r="N48" s="213">
        <v>0</v>
      </c>
      <c r="O48" s="9"/>
      <c r="P48" s="64"/>
      <c r="Q48" s="2" t="s">
        <v>1116</v>
      </c>
      <c r="R48" s="2" t="s">
        <v>41</v>
      </c>
      <c r="S48" s="2" t="s">
        <v>41</v>
      </c>
      <c r="T48" s="2" t="s">
        <v>41</v>
      </c>
    </row>
    <row r="49" spans="2:16" x14ac:dyDescent="0.2">
      <c r="B49" s="9"/>
      <c r="C49" s="9"/>
      <c r="D49" s="9"/>
      <c r="E49" s="9"/>
      <c r="F49" s="9"/>
      <c r="G49" s="9"/>
      <c r="H49" s="9"/>
      <c r="J49" s="166"/>
      <c r="P49" s="101"/>
    </row>
    <row r="50" spans="2:16" x14ac:dyDescent="0.2">
      <c r="B50" s="17" t="s">
        <v>51</v>
      </c>
      <c r="C50" s="218">
        <f t="shared" ref="C50:H50" si="5">AVERAGE(C33:C47)</f>
        <v>0.19999999999999998</v>
      </c>
      <c r="D50" s="218">
        <f t="shared" si="5"/>
        <v>1.0222222222222221</v>
      </c>
      <c r="E50" s="218">
        <f t="shared" si="5"/>
        <v>0.19999999999999998</v>
      </c>
      <c r="F50" s="218">
        <f t="shared" si="5"/>
        <v>0.94444444444444442</v>
      </c>
      <c r="G50" s="218">
        <f t="shared" si="5"/>
        <v>0.19999999999999998</v>
      </c>
      <c r="H50" s="218">
        <f t="shared" si="5"/>
        <v>0.42222222222222228</v>
      </c>
      <c r="J50" s="166"/>
      <c r="P50" s="101"/>
    </row>
    <row r="51" spans="2:16" x14ac:dyDescent="0.2">
      <c r="B51" s="17" t="s">
        <v>13</v>
      </c>
      <c r="C51" s="13">
        <f t="shared" ref="C51:H51" si="6">STDEV(C33:C47)</f>
        <v>2.943923360032078E-17</v>
      </c>
      <c r="D51" s="13">
        <f t="shared" si="6"/>
        <v>0.51666666666666661</v>
      </c>
      <c r="E51" s="13">
        <f t="shared" si="6"/>
        <v>2.943923360032078E-17</v>
      </c>
      <c r="F51" s="13">
        <f t="shared" si="6"/>
        <v>0.52704627669472981</v>
      </c>
      <c r="G51" s="13">
        <f t="shared" si="6"/>
        <v>2.943923360032078E-17</v>
      </c>
      <c r="H51" s="13">
        <f t="shared" si="6"/>
        <v>0.26352313834736496</v>
      </c>
      <c r="J51" s="166"/>
      <c r="P51" s="101"/>
    </row>
    <row r="52" spans="2:16" x14ac:dyDescent="0.2">
      <c r="B52" s="17" t="s">
        <v>694</v>
      </c>
      <c r="C52" s="83">
        <f t="shared" ref="C52:H52" si="7">COUNT(C33:C47)</f>
        <v>9</v>
      </c>
      <c r="D52" s="83">
        <f t="shared" si="7"/>
        <v>9</v>
      </c>
      <c r="E52" s="83">
        <f t="shared" si="7"/>
        <v>9</v>
      </c>
      <c r="F52" s="83">
        <f t="shared" si="7"/>
        <v>9</v>
      </c>
      <c r="G52" s="83">
        <f t="shared" si="7"/>
        <v>9</v>
      </c>
      <c r="H52" s="83">
        <f t="shared" si="7"/>
        <v>9</v>
      </c>
      <c r="J52" s="166"/>
      <c r="P52" s="101"/>
    </row>
    <row r="53" spans="2:16" x14ac:dyDescent="0.2">
      <c r="B53" s="17" t="s">
        <v>14</v>
      </c>
      <c r="C53" s="13">
        <v>0</v>
      </c>
      <c r="D53" s="13">
        <f>D51/SQRT(11)</f>
        <v>0.15578086136517785</v>
      </c>
      <c r="E53" s="13">
        <f>E51/SQRT(11)</f>
        <v>8.876262906171595E-18</v>
      </c>
      <c r="F53" s="13">
        <f>F51/SQRT(11)</f>
        <v>0.15891043154093204</v>
      </c>
      <c r="G53" s="13">
        <f>G51/SQRT(11)</f>
        <v>8.876262906171595E-18</v>
      </c>
      <c r="H53" s="13">
        <f>H51/SQRT(11)</f>
        <v>7.9455215770466034E-2</v>
      </c>
      <c r="J53" s="166"/>
    </row>
  </sheetData>
  <pageMargins left="0.7" right="0.7" top="0.78740157499999996" bottom="0.78740157499999996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E177"/>
  <sheetViews>
    <sheetView topLeftCell="B103" zoomScale="86" zoomScaleNormal="86" zoomScalePageLayoutView="86" workbookViewId="0">
      <selection activeCell="I71" sqref="I71"/>
    </sheetView>
  </sheetViews>
  <sheetFormatPr baseColWidth="10" defaultColWidth="11" defaultRowHeight="16" x14ac:dyDescent="0.2"/>
  <cols>
    <col min="1" max="2" width="11" style="27"/>
    <col min="3" max="3" width="37.83203125" style="27" customWidth="1"/>
    <col min="4" max="4" width="16" style="27" customWidth="1"/>
    <col min="5" max="5" width="18.5" style="27" customWidth="1"/>
    <col min="6" max="6" width="11" style="27"/>
    <col min="7" max="7" width="16.5" style="27" customWidth="1"/>
    <col min="8" max="8" width="16.83203125" style="27" customWidth="1"/>
    <col min="9" max="9" width="24.83203125" style="27" customWidth="1"/>
    <col min="10" max="10" width="33.1640625" style="27" customWidth="1"/>
    <col min="11" max="15" width="11" style="27"/>
    <col min="16" max="16" width="14.33203125" style="27" bestFit="1" customWidth="1"/>
    <col min="17" max="18" width="11" style="27"/>
    <col min="19" max="19" width="10" style="27" customWidth="1"/>
    <col min="20" max="25" width="11" style="27"/>
    <col min="26" max="26" width="12.5" style="27" customWidth="1"/>
    <col min="27" max="32" width="11" style="27"/>
    <col min="33" max="33" width="37.6640625" style="27" customWidth="1"/>
    <col min="34" max="16384" width="11" style="27"/>
  </cols>
  <sheetData>
    <row r="1" spans="1:28" x14ac:dyDescent="0.2"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</row>
    <row r="2" spans="1:28" ht="18" x14ac:dyDescent="0.2">
      <c r="A2" s="53" t="s">
        <v>937</v>
      </c>
      <c r="B2" s="53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</row>
    <row r="3" spans="1:28" x14ac:dyDescent="0.2">
      <c r="P3" s="166"/>
      <c r="Q3" s="166"/>
      <c r="R3" s="166"/>
      <c r="S3" s="166"/>
      <c r="T3" s="166"/>
      <c r="U3" s="166"/>
      <c r="V3" s="166"/>
      <c r="W3" s="166"/>
      <c r="X3" s="166"/>
      <c r="Y3" s="166"/>
      <c r="Z3" s="166"/>
      <c r="AA3" s="166"/>
      <c r="AB3" s="166"/>
    </row>
    <row r="4" spans="1:28" ht="18" x14ac:dyDescent="0.2">
      <c r="A4" s="14" t="s">
        <v>1037</v>
      </c>
      <c r="B4" s="14"/>
      <c r="C4" s="14"/>
      <c r="D4" s="14"/>
      <c r="E4" s="93"/>
      <c r="F4" s="93"/>
      <c r="G4" s="93"/>
      <c r="H4" s="93"/>
      <c r="I4" s="93"/>
      <c r="J4" s="93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</row>
    <row r="5" spans="1:28" x14ac:dyDescent="0.2"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</row>
    <row r="6" spans="1:28" x14ac:dyDescent="0.2"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</row>
    <row r="7" spans="1:28" x14ac:dyDescent="0.2">
      <c r="P7" s="166"/>
      <c r="Q7" s="455"/>
      <c r="R7" s="166"/>
      <c r="S7" s="166"/>
      <c r="T7" s="166"/>
      <c r="U7" s="166"/>
      <c r="V7" s="166"/>
      <c r="W7" s="455"/>
      <c r="X7" s="166"/>
      <c r="Y7" s="166"/>
      <c r="Z7" s="166"/>
      <c r="AA7" s="166"/>
      <c r="AB7" s="166"/>
    </row>
    <row r="8" spans="1:28" x14ac:dyDescent="0.2">
      <c r="C8" s="456" t="s">
        <v>656</v>
      </c>
      <c r="D8" s="135" t="s">
        <v>928</v>
      </c>
      <c r="E8" s="456"/>
      <c r="F8" s="457"/>
      <c r="G8" s="457"/>
      <c r="H8" s="458"/>
      <c r="I8" s="458"/>
      <c r="J8" s="456" t="s">
        <v>656</v>
      </c>
      <c r="K8" s="135" t="s">
        <v>928</v>
      </c>
      <c r="L8" s="456"/>
      <c r="M8" s="457"/>
      <c r="N8" s="457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</row>
    <row r="9" spans="1:28" x14ac:dyDescent="0.2">
      <c r="C9" s="282" t="s">
        <v>939</v>
      </c>
      <c r="D9" s="459" t="s">
        <v>929</v>
      </c>
      <c r="E9" s="459" t="s">
        <v>930</v>
      </c>
      <c r="F9" s="459" t="s">
        <v>931</v>
      </c>
      <c r="G9" s="460" t="s">
        <v>932</v>
      </c>
      <c r="H9" s="455"/>
      <c r="I9" s="455"/>
      <c r="J9" s="282" t="s">
        <v>663</v>
      </c>
      <c r="K9" s="459" t="s">
        <v>929</v>
      </c>
      <c r="L9" s="459" t="s">
        <v>930</v>
      </c>
      <c r="M9" s="459" t="s">
        <v>931</v>
      </c>
      <c r="N9" s="460" t="s">
        <v>932</v>
      </c>
      <c r="P9" s="166"/>
      <c r="Q9" s="166"/>
      <c r="R9" s="166"/>
      <c r="S9" s="166"/>
      <c r="T9" s="166"/>
      <c r="U9" s="166"/>
      <c r="V9" s="166"/>
      <c r="W9" s="166"/>
      <c r="X9" s="461"/>
      <c r="Y9" s="166"/>
      <c r="Z9" s="166"/>
      <c r="AA9" s="166"/>
      <c r="AB9" s="166"/>
    </row>
    <row r="10" spans="1:28" x14ac:dyDescent="0.2">
      <c r="C10" s="284" t="s">
        <v>32</v>
      </c>
      <c r="D10" s="462"/>
      <c r="E10" s="462">
        <v>0.53</v>
      </c>
      <c r="F10" s="463">
        <v>0.5</v>
      </c>
      <c r="G10" s="462">
        <v>0.48</v>
      </c>
      <c r="H10" s="464"/>
      <c r="I10" s="458"/>
      <c r="J10" s="284" t="s">
        <v>32</v>
      </c>
      <c r="K10" s="465">
        <v>0.38</v>
      </c>
      <c r="L10" s="462">
        <v>0.37</v>
      </c>
      <c r="M10" s="462">
        <v>0.32</v>
      </c>
      <c r="N10" s="462"/>
      <c r="P10" s="166"/>
      <c r="Q10" s="166"/>
      <c r="R10" s="166"/>
      <c r="S10" s="166"/>
      <c r="T10" s="166"/>
      <c r="U10" s="166"/>
      <c r="V10" s="166"/>
      <c r="W10" s="166"/>
      <c r="X10" s="166"/>
      <c r="Y10" s="166"/>
      <c r="Z10" s="166"/>
      <c r="AA10" s="166"/>
      <c r="AB10" s="166"/>
    </row>
    <row r="11" spans="1:28" x14ac:dyDescent="0.2">
      <c r="C11" s="284" t="s">
        <v>33</v>
      </c>
      <c r="D11" s="462"/>
      <c r="E11" s="462"/>
      <c r="F11" s="463">
        <v>0.6</v>
      </c>
      <c r="G11" s="462"/>
      <c r="H11" s="464"/>
      <c r="I11" s="458"/>
      <c r="J11" s="284" t="s">
        <v>33</v>
      </c>
      <c r="K11" s="462">
        <v>0.42</v>
      </c>
      <c r="L11" s="462">
        <v>0.38</v>
      </c>
      <c r="M11" s="462">
        <v>0.38</v>
      </c>
      <c r="N11" s="462">
        <v>0.3</v>
      </c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</row>
    <row r="12" spans="1:28" x14ac:dyDescent="0.2">
      <c r="C12" s="284" t="s">
        <v>34</v>
      </c>
      <c r="D12" s="462">
        <v>0.7</v>
      </c>
      <c r="E12" s="462">
        <v>0.73</v>
      </c>
      <c r="F12" s="463">
        <v>0.76</v>
      </c>
      <c r="G12" s="462">
        <v>0.73</v>
      </c>
      <c r="H12" s="464"/>
      <c r="I12" s="458"/>
      <c r="J12" s="284" t="s">
        <v>34</v>
      </c>
      <c r="K12" s="462">
        <v>0.41</v>
      </c>
      <c r="L12" s="462">
        <v>0.38</v>
      </c>
      <c r="M12" s="462">
        <v>0.34</v>
      </c>
      <c r="N12" s="462"/>
      <c r="P12" s="166"/>
      <c r="Q12" s="166"/>
      <c r="R12" s="166"/>
      <c r="S12" s="166"/>
      <c r="T12" s="166"/>
      <c r="U12" s="166"/>
      <c r="V12" s="166"/>
      <c r="W12" s="166"/>
      <c r="X12" s="461"/>
      <c r="Y12" s="166"/>
      <c r="Z12" s="166"/>
      <c r="AA12" s="166"/>
      <c r="AB12" s="166"/>
    </row>
    <row r="13" spans="1:28" x14ac:dyDescent="0.2">
      <c r="C13" s="284" t="s">
        <v>35</v>
      </c>
      <c r="D13" s="462">
        <v>0.5</v>
      </c>
      <c r="E13" s="462">
        <v>0.54</v>
      </c>
      <c r="F13" s="463">
        <v>0.5</v>
      </c>
      <c r="G13" s="462">
        <v>0.46</v>
      </c>
      <c r="H13" s="464"/>
      <c r="I13" s="458"/>
      <c r="P13" s="166"/>
      <c r="Q13" s="166"/>
      <c r="R13" s="166"/>
      <c r="S13" s="166"/>
      <c r="T13" s="166"/>
      <c r="U13" s="166"/>
      <c r="V13" s="166"/>
      <c r="W13" s="166"/>
      <c r="X13" s="466"/>
      <c r="Y13" s="166"/>
      <c r="Z13" s="166"/>
      <c r="AA13" s="166"/>
      <c r="AB13" s="166"/>
    </row>
    <row r="14" spans="1:28" x14ac:dyDescent="0.2">
      <c r="H14" s="464"/>
      <c r="I14" s="458"/>
      <c r="J14" s="282" t="s">
        <v>664</v>
      </c>
      <c r="K14" s="459" t="s">
        <v>929</v>
      </c>
      <c r="L14" s="459" t="s">
        <v>930</v>
      </c>
      <c r="M14" s="459" t="s">
        <v>931</v>
      </c>
      <c r="N14" s="460" t="s">
        <v>932</v>
      </c>
      <c r="P14" s="166"/>
      <c r="Q14" s="166"/>
      <c r="R14" s="166"/>
      <c r="S14" s="166"/>
      <c r="T14" s="166"/>
      <c r="U14" s="166"/>
      <c r="V14" s="166"/>
      <c r="W14" s="166"/>
      <c r="X14" s="166"/>
      <c r="Y14" s="166"/>
      <c r="Z14" s="166"/>
      <c r="AA14" s="166"/>
      <c r="AB14" s="166"/>
    </row>
    <row r="15" spans="1:28" x14ac:dyDescent="0.2">
      <c r="C15" s="282" t="s">
        <v>938</v>
      </c>
      <c r="D15" s="459" t="s">
        <v>929</v>
      </c>
      <c r="E15" s="459" t="s">
        <v>930</v>
      </c>
      <c r="F15" s="459" t="s">
        <v>931</v>
      </c>
      <c r="G15" s="460" t="s">
        <v>932</v>
      </c>
      <c r="H15" s="464"/>
      <c r="I15" s="458"/>
      <c r="J15" s="284" t="s">
        <v>32</v>
      </c>
      <c r="K15" s="465">
        <v>0.41</v>
      </c>
      <c r="L15" s="462">
        <v>0.36</v>
      </c>
      <c r="M15" s="462">
        <v>0.32</v>
      </c>
      <c r="N15" s="462"/>
      <c r="P15" s="166"/>
      <c r="Q15" s="166"/>
      <c r="R15" s="166"/>
      <c r="S15" s="166"/>
      <c r="T15" s="166"/>
      <c r="U15" s="166"/>
      <c r="V15" s="166"/>
      <c r="W15" s="166"/>
      <c r="X15" s="466"/>
      <c r="Y15" s="166"/>
      <c r="Z15" s="166"/>
      <c r="AA15" s="166"/>
      <c r="AB15" s="166"/>
    </row>
    <row r="16" spans="1:28" x14ac:dyDescent="0.2">
      <c r="C16" s="284" t="s">
        <v>32</v>
      </c>
      <c r="D16" s="462">
        <v>0.5</v>
      </c>
      <c r="E16" s="462">
        <v>0.55000000000000004</v>
      </c>
      <c r="F16" s="463">
        <v>0.5</v>
      </c>
      <c r="G16" s="462">
        <v>0.46</v>
      </c>
      <c r="H16" s="464"/>
      <c r="I16" s="458"/>
      <c r="J16" s="284" t="s">
        <v>33</v>
      </c>
      <c r="K16" s="463">
        <v>0.4</v>
      </c>
      <c r="L16" s="462">
        <v>0.34</v>
      </c>
      <c r="M16" s="462">
        <v>0.31</v>
      </c>
      <c r="N16" s="462"/>
      <c r="P16" s="166"/>
      <c r="Q16" s="166"/>
      <c r="R16" s="166"/>
      <c r="S16" s="166"/>
      <c r="T16" s="166"/>
      <c r="U16" s="166"/>
      <c r="V16" s="166"/>
      <c r="W16" s="166"/>
      <c r="X16" s="466"/>
      <c r="Y16" s="166"/>
      <c r="Z16" s="166"/>
      <c r="AA16" s="166"/>
      <c r="AB16" s="166"/>
    </row>
    <row r="17" spans="2:28" x14ac:dyDescent="0.2">
      <c r="C17" s="284" t="s">
        <v>33</v>
      </c>
      <c r="D17" s="462"/>
      <c r="E17" s="462">
        <v>0.86</v>
      </c>
      <c r="F17" s="463">
        <v>0.9</v>
      </c>
      <c r="G17" s="462">
        <v>0.81</v>
      </c>
      <c r="H17" s="464"/>
      <c r="I17" s="458"/>
      <c r="J17" s="284" t="s">
        <v>34</v>
      </c>
      <c r="K17" s="462">
        <v>0.38</v>
      </c>
      <c r="L17" s="462"/>
      <c r="M17" s="462"/>
      <c r="N17" s="462"/>
      <c r="P17" s="166"/>
      <c r="Q17" s="166"/>
      <c r="R17" s="166"/>
      <c r="S17" s="166"/>
      <c r="T17" s="166"/>
      <c r="U17" s="166"/>
      <c r="V17" s="166"/>
      <c r="W17" s="166"/>
      <c r="X17" s="466"/>
      <c r="Y17" s="166"/>
      <c r="Z17" s="166"/>
      <c r="AA17" s="166"/>
      <c r="AB17" s="166"/>
    </row>
    <row r="18" spans="2:28" x14ac:dyDescent="0.2">
      <c r="B18" s="201"/>
      <c r="C18" s="284" t="s">
        <v>34</v>
      </c>
      <c r="D18" s="462">
        <v>0.79</v>
      </c>
      <c r="E18" s="462">
        <v>0.8</v>
      </c>
      <c r="F18" s="463">
        <v>0.78</v>
      </c>
      <c r="G18" s="462">
        <v>0.75</v>
      </c>
      <c r="H18" s="464"/>
      <c r="I18" s="458"/>
      <c r="J18" s="284" t="s">
        <v>35</v>
      </c>
      <c r="K18" s="463">
        <v>0.35</v>
      </c>
      <c r="L18" s="462">
        <v>0.3</v>
      </c>
      <c r="M18" s="462">
        <v>0.3</v>
      </c>
      <c r="N18" s="462">
        <v>0.26</v>
      </c>
      <c r="P18" s="166"/>
      <c r="Q18" s="455"/>
      <c r="R18" s="166"/>
      <c r="S18" s="166"/>
      <c r="T18" s="166"/>
      <c r="U18" s="166"/>
      <c r="V18" s="166"/>
      <c r="W18" s="166"/>
      <c r="X18" s="466"/>
      <c r="Y18" s="166"/>
      <c r="Z18" s="166"/>
      <c r="AA18" s="166"/>
      <c r="AB18" s="166"/>
    </row>
    <row r="19" spans="2:28" x14ac:dyDescent="0.2">
      <c r="B19" s="201"/>
      <c r="C19" s="284" t="s">
        <v>35</v>
      </c>
      <c r="D19" s="462">
        <v>0.85</v>
      </c>
      <c r="E19" s="462">
        <v>0.88</v>
      </c>
      <c r="F19" s="463">
        <v>0.8</v>
      </c>
      <c r="G19" s="462">
        <v>0.8</v>
      </c>
      <c r="H19" s="458"/>
      <c r="I19" s="458"/>
      <c r="P19" s="166"/>
      <c r="Q19" s="166"/>
      <c r="R19" s="166"/>
      <c r="S19" s="166"/>
      <c r="T19" s="166"/>
      <c r="U19" s="166"/>
      <c r="V19" s="166"/>
      <c r="W19" s="166"/>
      <c r="X19" s="166"/>
      <c r="Y19" s="166"/>
      <c r="Z19" s="166"/>
      <c r="AA19" s="166"/>
      <c r="AB19" s="166"/>
    </row>
    <row r="20" spans="2:28" x14ac:dyDescent="0.2">
      <c r="H20" s="464"/>
      <c r="I20" s="464"/>
      <c r="J20" s="282" t="s">
        <v>712</v>
      </c>
      <c r="K20" s="459" t="s">
        <v>929</v>
      </c>
      <c r="L20" s="459" t="s">
        <v>930</v>
      </c>
      <c r="M20" s="459" t="s">
        <v>931</v>
      </c>
      <c r="N20" s="460" t="s">
        <v>932</v>
      </c>
      <c r="P20" s="166"/>
      <c r="Q20" s="166"/>
      <c r="R20" s="166"/>
      <c r="S20" s="166"/>
      <c r="T20" s="166"/>
      <c r="U20" s="166"/>
      <c r="V20" s="166"/>
      <c r="W20" s="166"/>
      <c r="X20" s="166"/>
      <c r="Y20" s="166"/>
      <c r="Z20" s="166"/>
      <c r="AA20" s="166"/>
      <c r="AB20" s="166"/>
    </row>
    <row r="21" spans="2:28" x14ac:dyDescent="0.2">
      <c r="H21" s="467"/>
      <c r="I21" s="467"/>
      <c r="J21" s="284" t="s">
        <v>32</v>
      </c>
      <c r="K21" s="463">
        <v>0.39</v>
      </c>
      <c r="L21" s="462">
        <v>0.42</v>
      </c>
      <c r="M21" s="462">
        <v>0.38</v>
      </c>
      <c r="N21" s="462"/>
      <c r="P21" s="166"/>
      <c r="Q21" s="166"/>
      <c r="R21" s="166"/>
      <c r="S21" s="166"/>
      <c r="T21" s="166"/>
      <c r="U21" s="166"/>
      <c r="V21" s="166"/>
      <c r="W21" s="166"/>
      <c r="X21" s="166"/>
      <c r="Y21" s="166"/>
      <c r="Z21" s="166"/>
      <c r="AA21" s="166"/>
      <c r="AB21" s="166"/>
    </row>
    <row r="22" spans="2:28" x14ac:dyDescent="0.2">
      <c r="C22" s="214" t="s">
        <v>51</v>
      </c>
      <c r="D22" s="468">
        <f>AVERAGE(D10:D13,D16:D19)</f>
        <v>0.66800000000000004</v>
      </c>
      <c r="E22" s="468">
        <f>AVERAGE(E10:E13,E16:E19)</f>
        <v>0.69857142857142851</v>
      </c>
      <c r="F22" s="468">
        <f>AVERAGE(F10:F13,F16:F19)</f>
        <v>0.66749999999999998</v>
      </c>
      <c r="G22" s="468">
        <f>AVERAGE(G10:G13,G16:G19)</f>
        <v>0.64142857142857146</v>
      </c>
      <c r="H22" s="467"/>
      <c r="I22" s="467"/>
      <c r="J22" s="284" t="s">
        <v>33</v>
      </c>
      <c r="K22" s="463">
        <v>0.39</v>
      </c>
      <c r="L22" s="462">
        <v>0.44</v>
      </c>
      <c r="M22" s="462">
        <v>0.4</v>
      </c>
      <c r="N22" s="462"/>
      <c r="P22" s="166"/>
      <c r="Q22" s="166"/>
      <c r="R22" s="166"/>
      <c r="S22" s="166"/>
      <c r="T22" s="166"/>
      <c r="U22" s="166"/>
      <c r="V22" s="166"/>
      <c r="W22" s="455"/>
      <c r="X22" s="166"/>
      <c r="Y22" s="166"/>
      <c r="Z22" s="166"/>
      <c r="AA22" s="166"/>
      <c r="AB22" s="166"/>
    </row>
    <row r="23" spans="2:28" x14ac:dyDescent="0.2">
      <c r="C23" s="287" t="s">
        <v>13</v>
      </c>
      <c r="D23" s="469">
        <f>STDEV(D10:D13,D16:D19)</f>
        <v>0.16238842323269198</v>
      </c>
      <c r="E23" s="469">
        <f>STDEV(E10:E13,E16:E19)</f>
        <v>0.15593038739862672</v>
      </c>
      <c r="F23" s="469">
        <f>STDEV(F10:F13,F16:F19)</f>
        <v>0.16104569005631403</v>
      </c>
      <c r="G23" s="469">
        <f>STDEV(G10:G13,G16:G19)</f>
        <v>0.16587430697454525</v>
      </c>
      <c r="H23" s="470"/>
      <c r="I23" s="470"/>
      <c r="J23" s="284" t="s">
        <v>34</v>
      </c>
      <c r="K23" s="463">
        <v>0.36</v>
      </c>
      <c r="L23" s="462">
        <v>0.32</v>
      </c>
      <c r="M23" s="462"/>
      <c r="N23" s="462"/>
      <c r="P23" s="166"/>
      <c r="Q23" s="166"/>
      <c r="R23" s="166"/>
      <c r="S23" s="166"/>
      <c r="T23" s="166"/>
      <c r="U23" s="166"/>
      <c r="V23" s="166"/>
      <c r="W23" s="166"/>
      <c r="X23" s="166"/>
      <c r="Y23" s="166"/>
      <c r="Z23" s="166"/>
      <c r="AA23" s="166"/>
      <c r="AB23" s="166"/>
    </row>
    <row r="24" spans="2:28" x14ac:dyDescent="0.2">
      <c r="C24" s="471" t="s">
        <v>694</v>
      </c>
      <c r="D24" s="472">
        <v>5</v>
      </c>
      <c r="E24" s="472">
        <v>7</v>
      </c>
      <c r="F24" s="472">
        <f>COUNT(F10:F19)</f>
        <v>8</v>
      </c>
      <c r="G24" s="472">
        <f>COUNT(G10:G19)</f>
        <v>7</v>
      </c>
      <c r="H24" s="467"/>
      <c r="I24" s="467"/>
      <c r="J24" s="284" t="s">
        <v>35</v>
      </c>
      <c r="K24" s="462">
        <v>0.45</v>
      </c>
      <c r="L24" s="462">
        <v>0.45</v>
      </c>
      <c r="M24" s="462">
        <v>0.4</v>
      </c>
      <c r="N24" s="462"/>
      <c r="P24" s="166"/>
      <c r="Q24" s="166"/>
      <c r="R24" s="166"/>
      <c r="S24" s="166"/>
      <c r="T24" s="166"/>
      <c r="U24" s="166"/>
      <c r="V24" s="166"/>
      <c r="W24" s="166"/>
      <c r="X24" s="166"/>
      <c r="Y24" s="166"/>
      <c r="Z24" s="166"/>
      <c r="AA24" s="166"/>
      <c r="AB24" s="166"/>
    </row>
    <row r="25" spans="2:28" x14ac:dyDescent="0.2">
      <c r="C25" s="287" t="s">
        <v>14</v>
      </c>
      <c r="D25" s="469">
        <f>D23/SQRT(5)</f>
        <v>7.2622310621461086E-2</v>
      </c>
      <c r="E25" s="469">
        <f>E23/SQRT(7)</f>
        <v>5.8936146699246593E-2</v>
      </c>
      <c r="F25" s="469">
        <f>F23/SQRT(8)</f>
        <v>5.6938249759843296E-2</v>
      </c>
      <c r="G25" s="469">
        <f>G23/SQRT(7)</f>
        <v>6.2694595021404773E-2</v>
      </c>
      <c r="H25" s="101"/>
      <c r="I25" s="101"/>
      <c r="P25" s="166"/>
      <c r="Q25" s="166"/>
      <c r="R25" s="166"/>
      <c r="S25" s="166"/>
      <c r="T25" s="166"/>
      <c r="U25" s="166"/>
      <c r="V25" s="166"/>
      <c r="W25" s="166"/>
      <c r="X25" s="166"/>
      <c r="Y25" s="166"/>
      <c r="Z25" s="166"/>
      <c r="AA25" s="166"/>
      <c r="AB25" s="166"/>
    </row>
    <row r="26" spans="2:28" x14ac:dyDescent="0.2">
      <c r="P26" s="166"/>
      <c r="Q26" s="166"/>
      <c r="R26" s="166"/>
      <c r="S26" s="166"/>
      <c r="T26" s="166"/>
      <c r="U26" s="166"/>
      <c r="V26" s="166"/>
      <c r="W26" s="166"/>
      <c r="X26" s="166"/>
      <c r="Y26" s="166"/>
      <c r="Z26" s="166"/>
      <c r="AA26" s="166"/>
      <c r="AB26" s="166"/>
    </row>
    <row r="27" spans="2:28" x14ac:dyDescent="0.2">
      <c r="C27" s="166"/>
      <c r="D27" s="166"/>
      <c r="E27" s="166"/>
      <c r="F27" s="166"/>
      <c r="G27" s="166"/>
      <c r="H27" s="101"/>
      <c r="I27" s="101"/>
      <c r="J27" s="214" t="s">
        <v>51</v>
      </c>
      <c r="K27" s="468">
        <f>AVERAGE(K10:K12,K15:K18,K21:K24)</f>
        <v>0.39454545454545453</v>
      </c>
      <c r="L27" s="468">
        <f t="shared" ref="L27:N27" si="0">AVERAGE(L10:L12,L15:L18,L21:L24)</f>
        <v>0.376</v>
      </c>
      <c r="M27" s="468">
        <f t="shared" si="0"/>
        <v>0.35</v>
      </c>
      <c r="N27" s="468">
        <f t="shared" si="0"/>
        <v>0.28000000000000003</v>
      </c>
      <c r="P27" s="166"/>
      <c r="Q27" s="166"/>
      <c r="R27" s="166"/>
      <c r="S27" s="166"/>
      <c r="T27" s="166"/>
      <c r="U27" s="166"/>
      <c r="V27" s="166"/>
      <c r="W27" s="166"/>
      <c r="X27" s="166"/>
      <c r="Y27" s="166"/>
      <c r="Z27" s="166"/>
      <c r="AA27" s="166"/>
      <c r="AB27" s="166"/>
    </row>
    <row r="28" spans="2:28" x14ac:dyDescent="0.2">
      <c r="J28" s="287" t="s">
        <v>13</v>
      </c>
      <c r="K28" s="469">
        <f>STDEV(K10:K12,K15:K18,K21:K24)</f>
        <v>2.8058380695840723E-2</v>
      </c>
      <c r="L28" s="469">
        <f t="shared" ref="L28:N28" si="1">STDEV(L10:L12,L15:L18,L21:L24)</f>
        <v>4.9486249493055093E-2</v>
      </c>
      <c r="M28" s="469">
        <f t="shared" si="1"/>
        <v>3.9999999999999876E-2</v>
      </c>
      <c r="N28" s="469">
        <f t="shared" si="1"/>
        <v>2.8284271247461888E-2</v>
      </c>
      <c r="P28" s="166"/>
      <c r="Q28" s="166"/>
      <c r="R28" s="166"/>
      <c r="S28" s="166"/>
      <c r="T28" s="166"/>
      <c r="U28" s="166"/>
      <c r="V28" s="166"/>
      <c r="W28" s="166"/>
      <c r="X28" s="166"/>
      <c r="Y28" s="166"/>
      <c r="Z28" s="166"/>
      <c r="AA28" s="166"/>
      <c r="AB28" s="166"/>
    </row>
    <row r="29" spans="2:28" x14ac:dyDescent="0.2">
      <c r="J29" s="471" t="s">
        <v>694</v>
      </c>
      <c r="K29" s="472">
        <v>11</v>
      </c>
      <c r="L29" s="472">
        <v>10</v>
      </c>
      <c r="M29" s="472">
        <v>9</v>
      </c>
      <c r="N29" s="472">
        <v>2</v>
      </c>
      <c r="P29" s="166"/>
      <c r="Q29" s="166"/>
      <c r="R29" s="166"/>
      <c r="S29" s="166"/>
      <c r="T29" s="166"/>
      <c r="U29" s="166"/>
      <c r="V29" s="166"/>
      <c r="W29" s="166"/>
      <c r="X29" s="166"/>
      <c r="Y29" s="166"/>
      <c r="Z29" s="166"/>
      <c r="AA29" s="166"/>
      <c r="AB29" s="166"/>
    </row>
    <row r="30" spans="2:28" x14ac:dyDescent="0.2">
      <c r="J30" s="287" t="s">
        <v>14</v>
      </c>
      <c r="K30" s="469">
        <f>K28/SQRT(11)</f>
        <v>8.459920090277703E-3</v>
      </c>
      <c r="L30" s="469">
        <f>L28/SQRT(10)</f>
        <v>1.5648926125740689E-2</v>
      </c>
      <c r="M30" s="469">
        <f>M28/SQRT(9)</f>
        <v>1.3333333333333293E-2</v>
      </c>
      <c r="N30" s="469">
        <f>N28/SQRT(2)</f>
        <v>1.999999999999999E-2</v>
      </c>
      <c r="P30" s="166"/>
      <c r="Q30" s="455"/>
      <c r="R30" s="166"/>
      <c r="S30" s="166"/>
      <c r="T30" s="166"/>
      <c r="U30" s="166"/>
      <c r="V30" s="166"/>
      <c r="W30" s="166"/>
      <c r="X30" s="166"/>
      <c r="Y30" s="166"/>
      <c r="Z30" s="166"/>
      <c r="AA30" s="166"/>
      <c r="AB30" s="166"/>
    </row>
    <row r="31" spans="2:28" x14ac:dyDescent="0.2">
      <c r="P31" s="166"/>
      <c r="Q31" s="166"/>
      <c r="R31" s="166"/>
      <c r="S31" s="166"/>
      <c r="T31" s="166"/>
      <c r="U31" s="166"/>
      <c r="V31" s="166"/>
      <c r="W31" s="166"/>
      <c r="X31" s="166"/>
      <c r="Y31" s="166"/>
      <c r="Z31" s="166"/>
      <c r="AA31" s="166"/>
      <c r="AB31" s="166"/>
    </row>
    <row r="32" spans="2:28" x14ac:dyDescent="0.2">
      <c r="P32" s="166"/>
      <c r="Q32" s="166"/>
      <c r="R32" s="166"/>
      <c r="S32" s="166"/>
      <c r="T32" s="166"/>
      <c r="U32" s="166"/>
      <c r="V32" s="166"/>
      <c r="W32" s="166"/>
      <c r="X32" s="166"/>
      <c r="Y32" s="166"/>
      <c r="Z32" s="166"/>
      <c r="AA32" s="166"/>
      <c r="AB32" s="166"/>
    </row>
    <row r="33" spans="3:28" x14ac:dyDescent="0.2">
      <c r="C33" s="456" t="s">
        <v>659</v>
      </c>
      <c r="D33" s="135" t="s">
        <v>928</v>
      </c>
      <c r="E33" s="456"/>
      <c r="F33" s="198"/>
      <c r="G33" s="198"/>
      <c r="H33" s="101"/>
      <c r="J33" s="456" t="s">
        <v>659</v>
      </c>
      <c r="K33" s="135" t="s">
        <v>928</v>
      </c>
      <c r="L33" s="456"/>
      <c r="M33" s="198"/>
      <c r="N33" s="198"/>
      <c r="O33" s="473"/>
      <c r="P33" s="166"/>
      <c r="Q33" s="166"/>
      <c r="R33" s="166"/>
      <c r="S33" s="166"/>
      <c r="T33" s="166"/>
      <c r="U33" s="166"/>
      <c r="V33" s="166"/>
      <c r="W33" s="166"/>
      <c r="X33" s="166"/>
      <c r="Y33" s="166"/>
      <c r="Z33" s="166"/>
      <c r="AA33" s="166"/>
      <c r="AB33" s="166"/>
    </row>
    <row r="34" spans="3:28" x14ac:dyDescent="0.2">
      <c r="C34" s="282" t="s">
        <v>939</v>
      </c>
      <c r="D34" s="459" t="s">
        <v>929</v>
      </c>
      <c r="E34" s="459" t="s">
        <v>930</v>
      </c>
      <c r="F34" s="459" t="s">
        <v>931</v>
      </c>
      <c r="G34" s="460" t="s">
        <v>932</v>
      </c>
      <c r="H34" s="166"/>
      <c r="J34" s="282" t="s">
        <v>663</v>
      </c>
      <c r="K34" s="459" t="s">
        <v>929</v>
      </c>
      <c r="L34" s="459" t="s">
        <v>930</v>
      </c>
      <c r="M34" s="459" t="s">
        <v>931</v>
      </c>
      <c r="N34" s="460" t="s">
        <v>932</v>
      </c>
      <c r="O34" s="458"/>
      <c r="P34" s="166"/>
      <c r="Q34" s="166"/>
      <c r="R34" s="166"/>
      <c r="S34" s="166"/>
      <c r="T34" s="166"/>
      <c r="U34" s="166"/>
      <c r="V34" s="166"/>
      <c r="W34" s="166"/>
      <c r="X34" s="166"/>
      <c r="Y34" s="166"/>
      <c r="Z34" s="166"/>
      <c r="AA34" s="166"/>
      <c r="AB34" s="166"/>
    </row>
    <row r="35" spans="3:28" x14ac:dyDescent="0.2">
      <c r="C35" s="284" t="s">
        <v>32</v>
      </c>
      <c r="D35" s="474">
        <v>0.78</v>
      </c>
      <c r="E35" s="474">
        <v>0.8</v>
      </c>
      <c r="F35" s="474">
        <v>0.75</v>
      </c>
      <c r="G35" s="474">
        <v>0.75</v>
      </c>
      <c r="H35" s="166"/>
      <c r="J35" s="284" t="s">
        <v>32</v>
      </c>
      <c r="K35" s="463">
        <v>0.47</v>
      </c>
      <c r="L35" s="462">
        <v>0.45</v>
      </c>
      <c r="M35" s="462">
        <v>0.4</v>
      </c>
      <c r="N35" s="462"/>
      <c r="O35" s="458"/>
      <c r="P35" s="166"/>
      <c r="Q35" s="166"/>
      <c r="R35" s="166"/>
      <c r="S35" s="166"/>
      <c r="T35" s="166"/>
      <c r="U35" s="166"/>
      <c r="V35" s="166"/>
      <c r="W35" s="166"/>
      <c r="X35" s="166"/>
      <c r="Y35" s="166"/>
      <c r="Z35" s="166"/>
      <c r="AA35" s="166"/>
      <c r="AB35" s="166"/>
    </row>
    <row r="36" spans="3:28" x14ac:dyDescent="0.2">
      <c r="C36" s="284" t="s">
        <v>33</v>
      </c>
      <c r="D36" s="474"/>
      <c r="E36" s="474">
        <v>0.55000000000000004</v>
      </c>
      <c r="F36" s="475">
        <v>0.5</v>
      </c>
      <c r="G36" s="474"/>
      <c r="H36" s="166"/>
      <c r="I36" s="101"/>
      <c r="J36" s="284" t="s">
        <v>33</v>
      </c>
      <c r="K36" s="462">
        <v>0.42</v>
      </c>
      <c r="L36" s="462">
        <v>0.43</v>
      </c>
      <c r="M36" s="462">
        <v>0.35</v>
      </c>
      <c r="N36" s="462">
        <v>0.35</v>
      </c>
      <c r="O36" s="455"/>
      <c r="P36" s="166"/>
      <c r="Q36" s="166"/>
      <c r="R36" s="166"/>
      <c r="S36" s="166"/>
      <c r="T36" s="166"/>
      <c r="U36" s="166"/>
      <c r="V36" s="166"/>
      <c r="W36" s="166"/>
      <c r="X36" s="166"/>
      <c r="Y36" s="166"/>
      <c r="Z36" s="166"/>
      <c r="AA36" s="166"/>
      <c r="AB36" s="166"/>
    </row>
    <row r="37" spans="3:28" x14ac:dyDescent="0.2">
      <c r="C37" s="284" t="s">
        <v>34</v>
      </c>
      <c r="D37" s="474">
        <v>0.8</v>
      </c>
      <c r="E37" s="474">
        <v>0.83</v>
      </c>
      <c r="F37" s="475">
        <v>0.83</v>
      </c>
      <c r="G37" s="474">
        <v>0.86</v>
      </c>
      <c r="H37" s="166"/>
      <c r="I37" s="166"/>
      <c r="J37" s="284" t="s">
        <v>34</v>
      </c>
      <c r="K37" s="463">
        <v>0.3</v>
      </c>
      <c r="L37" s="462">
        <v>0.3</v>
      </c>
      <c r="M37" s="462"/>
      <c r="N37" s="462"/>
      <c r="O37" s="458"/>
      <c r="P37" s="166"/>
      <c r="Q37" s="166"/>
      <c r="R37" s="166"/>
      <c r="S37" s="166"/>
      <c r="T37" s="166"/>
      <c r="U37" s="166"/>
      <c r="V37" s="166"/>
      <c r="W37" s="455"/>
      <c r="X37" s="166"/>
      <c r="Y37" s="166"/>
      <c r="Z37" s="166"/>
      <c r="AA37" s="166"/>
      <c r="AB37" s="166"/>
    </row>
    <row r="38" spans="3:28" x14ac:dyDescent="0.2">
      <c r="C38" s="284" t="s">
        <v>35</v>
      </c>
      <c r="D38" s="474">
        <v>0.68</v>
      </c>
      <c r="E38" s="474">
        <v>0.7</v>
      </c>
      <c r="F38" s="475">
        <v>0.72</v>
      </c>
      <c r="G38" s="474">
        <v>0.68</v>
      </c>
      <c r="H38" s="166"/>
      <c r="I38" s="166"/>
      <c r="O38" s="458"/>
      <c r="P38" s="166"/>
      <c r="Q38" s="166"/>
      <c r="R38" s="166"/>
      <c r="S38" s="166"/>
      <c r="T38" s="166"/>
      <c r="U38" s="166"/>
      <c r="V38" s="166"/>
      <c r="W38" s="166"/>
      <c r="X38" s="166"/>
      <c r="Y38" s="166"/>
      <c r="Z38" s="166"/>
      <c r="AA38" s="166"/>
      <c r="AB38" s="166"/>
    </row>
    <row r="39" spans="3:28" x14ac:dyDescent="0.2">
      <c r="H39" s="166"/>
      <c r="I39" s="166"/>
      <c r="J39" s="282" t="s">
        <v>664</v>
      </c>
      <c r="K39" s="459" t="s">
        <v>929</v>
      </c>
      <c r="L39" s="459" t="s">
        <v>930</v>
      </c>
      <c r="M39" s="459" t="s">
        <v>931</v>
      </c>
      <c r="N39" s="460" t="s">
        <v>932</v>
      </c>
      <c r="O39" s="458"/>
      <c r="P39" s="166"/>
      <c r="Q39" s="166"/>
      <c r="R39" s="166"/>
      <c r="S39" s="166"/>
      <c r="T39" s="166"/>
      <c r="U39" s="166"/>
      <c r="V39" s="166"/>
      <c r="W39" s="166"/>
      <c r="X39" s="166"/>
      <c r="Y39" s="166"/>
      <c r="Z39" s="166"/>
      <c r="AA39" s="166"/>
      <c r="AB39" s="166"/>
    </row>
    <row r="40" spans="3:28" x14ac:dyDescent="0.2">
      <c r="C40" s="282" t="s">
        <v>938</v>
      </c>
      <c r="D40" s="459" t="s">
        <v>929</v>
      </c>
      <c r="E40" s="459" t="s">
        <v>930</v>
      </c>
      <c r="F40" s="459" t="s">
        <v>931</v>
      </c>
      <c r="G40" s="460" t="s">
        <v>932</v>
      </c>
      <c r="H40" s="166"/>
      <c r="I40" s="166"/>
      <c r="J40" s="284" t="s">
        <v>32</v>
      </c>
      <c r="K40" s="475">
        <v>0.36</v>
      </c>
      <c r="L40" s="462">
        <v>0.3</v>
      </c>
      <c r="M40" s="462"/>
      <c r="N40" s="462"/>
      <c r="O40" s="458"/>
      <c r="P40" s="458"/>
      <c r="Q40" s="101"/>
      <c r="R40" s="166"/>
      <c r="S40" s="166"/>
      <c r="T40" s="166"/>
      <c r="U40" s="166"/>
      <c r="V40" s="166"/>
      <c r="W40" s="166"/>
      <c r="X40" s="166"/>
      <c r="Y40" s="166"/>
      <c r="Z40" s="166"/>
      <c r="AA40" s="166"/>
      <c r="AB40" s="166"/>
    </row>
    <row r="41" spans="3:28" x14ac:dyDescent="0.2">
      <c r="C41" s="284" t="s">
        <v>32</v>
      </c>
      <c r="D41" s="474">
        <v>0.7</v>
      </c>
      <c r="E41" s="474">
        <v>0.75</v>
      </c>
      <c r="F41" s="475">
        <v>0.79</v>
      </c>
      <c r="G41" s="474">
        <v>0.8</v>
      </c>
      <c r="H41" s="166"/>
      <c r="I41" s="166"/>
      <c r="J41" s="284" t="s">
        <v>33</v>
      </c>
      <c r="K41" s="463">
        <v>0.34</v>
      </c>
      <c r="L41" s="462">
        <v>0.3</v>
      </c>
      <c r="M41" s="462">
        <v>0.27</v>
      </c>
      <c r="N41" s="462"/>
      <c r="O41" s="458"/>
      <c r="P41" s="458"/>
      <c r="Q41" s="101"/>
      <c r="R41" s="166"/>
      <c r="S41" s="166"/>
      <c r="T41" s="166"/>
      <c r="U41" s="166"/>
      <c r="V41" s="166"/>
      <c r="W41" s="166"/>
      <c r="X41" s="166"/>
      <c r="Y41" s="166"/>
      <c r="Z41" s="166"/>
      <c r="AA41" s="166"/>
      <c r="AB41" s="166"/>
    </row>
    <row r="42" spans="3:28" x14ac:dyDescent="0.2">
      <c r="C42" s="284" t="s">
        <v>33</v>
      </c>
      <c r="D42" s="476">
        <v>0.9</v>
      </c>
      <c r="E42" s="476">
        <v>0.9</v>
      </c>
      <c r="F42" s="475">
        <v>1.1000000000000001</v>
      </c>
      <c r="G42" s="476">
        <v>1</v>
      </c>
      <c r="H42" s="166"/>
      <c r="I42" s="166"/>
      <c r="J42" s="284" t="s">
        <v>34</v>
      </c>
      <c r="K42" s="463">
        <v>0.34</v>
      </c>
      <c r="L42" s="462">
        <v>0.3</v>
      </c>
      <c r="M42" s="462"/>
      <c r="N42" s="462"/>
      <c r="O42" s="458"/>
      <c r="P42" s="458"/>
      <c r="Q42" s="101"/>
      <c r="R42" s="166"/>
      <c r="S42" s="166"/>
      <c r="T42" s="166"/>
      <c r="U42" s="166"/>
      <c r="V42" s="166"/>
      <c r="W42" s="166"/>
      <c r="X42" s="166"/>
      <c r="Y42" s="166"/>
      <c r="Z42" s="166"/>
      <c r="AA42" s="166"/>
      <c r="AB42" s="166"/>
    </row>
    <row r="43" spans="3:28" x14ac:dyDescent="0.2">
      <c r="C43" s="284" t="s">
        <v>34</v>
      </c>
      <c r="D43" s="474">
        <v>1.1499999999999999</v>
      </c>
      <c r="E43" s="474">
        <v>1.1499999999999999</v>
      </c>
      <c r="F43" s="475">
        <v>1.18</v>
      </c>
      <c r="G43" s="477">
        <v>1.2</v>
      </c>
      <c r="H43" s="166"/>
      <c r="I43" s="166"/>
      <c r="J43" s="284" t="s">
        <v>35</v>
      </c>
      <c r="K43" s="463">
        <v>0.22</v>
      </c>
      <c r="L43" s="462">
        <v>0.21</v>
      </c>
      <c r="M43" s="462"/>
      <c r="N43" s="462"/>
      <c r="O43" s="458"/>
      <c r="P43" s="458"/>
      <c r="Q43" s="101"/>
      <c r="R43" s="166"/>
      <c r="S43" s="166"/>
      <c r="T43" s="166"/>
      <c r="U43" s="166"/>
      <c r="V43" s="166"/>
      <c r="W43" s="166"/>
      <c r="X43" s="166"/>
      <c r="Y43" s="166"/>
      <c r="Z43" s="166"/>
      <c r="AA43" s="166"/>
      <c r="AB43" s="166"/>
    </row>
    <row r="44" spans="3:28" x14ac:dyDescent="0.2">
      <c r="C44" s="284" t="s">
        <v>35</v>
      </c>
      <c r="D44" s="474">
        <v>1.1499999999999999</v>
      </c>
      <c r="E44" s="474">
        <v>1.22</v>
      </c>
      <c r="F44" s="475">
        <v>1.3</v>
      </c>
      <c r="G44" s="474">
        <v>1.33</v>
      </c>
      <c r="H44" s="166"/>
      <c r="I44" s="166"/>
      <c r="O44" s="458"/>
      <c r="P44" s="458"/>
      <c r="Q44" s="101"/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</row>
    <row r="45" spans="3:28" x14ac:dyDescent="0.2">
      <c r="H45" s="166"/>
      <c r="I45" s="166"/>
      <c r="J45" s="282" t="s">
        <v>712</v>
      </c>
      <c r="K45" s="459" t="s">
        <v>929</v>
      </c>
      <c r="L45" s="459" t="s">
        <v>930</v>
      </c>
      <c r="M45" s="459" t="s">
        <v>931</v>
      </c>
      <c r="N45" s="460" t="s">
        <v>932</v>
      </c>
      <c r="O45" s="458"/>
      <c r="P45" s="458"/>
      <c r="Q45" s="101"/>
      <c r="R45" s="166"/>
      <c r="S45" s="166"/>
      <c r="T45" s="166"/>
      <c r="U45" s="166"/>
      <c r="V45" s="166"/>
      <c r="W45" s="166"/>
      <c r="X45" s="166"/>
      <c r="Y45" s="166"/>
      <c r="Z45" s="166"/>
      <c r="AA45" s="166"/>
      <c r="AB45" s="166"/>
    </row>
    <row r="46" spans="3:28" x14ac:dyDescent="0.2">
      <c r="C46" s="166"/>
      <c r="D46" s="166"/>
      <c r="E46" s="166"/>
      <c r="F46" s="166"/>
      <c r="G46" s="166"/>
      <c r="H46" s="166"/>
      <c r="I46" s="166"/>
      <c r="J46" s="284" t="s">
        <v>32</v>
      </c>
      <c r="K46" s="463">
        <v>0.35</v>
      </c>
      <c r="L46" s="462">
        <v>0.42</v>
      </c>
      <c r="M46" s="462">
        <v>0.4</v>
      </c>
      <c r="N46" s="462">
        <v>0.35</v>
      </c>
      <c r="O46" s="458"/>
      <c r="P46" s="458"/>
      <c r="Q46" s="101"/>
      <c r="R46" s="166"/>
      <c r="S46" s="166"/>
      <c r="T46" s="166"/>
      <c r="U46" s="166"/>
      <c r="V46" s="166"/>
      <c r="W46" s="166"/>
      <c r="X46" s="166"/>
      <c r="Y46" s="166"/>
      <c r="Z46" s="166"/>
      <c r="AA46" s="166"/>
      <c r="AB46" s="166"/>
    </row>
    <row r="47" spans="3:28" x14ac:dyDescent="0.2">
      <c r="C47" s="214" t="s">
        <v>51</v>
      </c>
      <c r="D47" s="468">
        <f>AVERAGE(D35:D38,D41:D44)</f>
        <v>0.88</v>
      </c>
      <c r="E47" s="468">
        <f>AVERAGE(E35:E38,E41:E44)</f>
        <v>0.86249999999999993</v>
      </c>
      <c r="F47" s="468">
        <f>AVERAGE(F35:F38,F41:F44)</f>
        <v>0.89624999999999988</v>
      </c>
      <c r="G47" s="468">
        <f>AVERAGE(G35:G38,G41:G44)</f>
        <v>0.94571428571428573</v>
      </c>
      <c r="H47" s="166"/>
      <c r="I47" s="166"/>
      <c r="J47" s="284" t="s">
        <v>33</v>
      </c>
      <c r="K47" s="463">
        <v>0.43</v>
      </c>
      <c r="L47" s="462">
        <v>0.4</v>
      </c>
      <c r="M47" s="462"/>
      <c r="N47" s="462"/>
      <c r="O47" s="458"/>
      <c r="P47" s="458"/>
      <c r="Q47" s="101"/>
      <c r="R47" s="166"/>
      <c r="S47" s="166"/>
      <c r="T47" s="166"/>
      <c r="U47" s="166"/>
      <c r="V47" s="166"/>
      <c r="W47" s="166"/>
      <c r="X47" s="166"/>
      <c r="Y47" s="166"/>
      <c r="Z47" s="166"/>
      <c r="AA47" s="166"/>
      <c r="AB47" s="166"/>
    </row>
    <row r="48" spans="3:28" x14ac:dyDescent="0.2">
      <c r="C48" s="287" t="s">
        <v>13</v>
      </c>
      <c r="D48" s="469">
        <f>STDEV(D35:D38,D41:D44)</f>
        <v>0.19790570145063172</v>
      </c>
      <c r="E48" s="469">
        <f>STDEV(E35:E38,E41:E44)</f>
        <v>0.2247379426290608</v>
      </c>
      <c r="F48" s="469">
        <f>STDEV(F35:F38,F41:F44)</f>
        <v>0.26997023645474105</v>
      </c>
      <c r="G48" s="469">
        <f>STDEV(G35:G38,G41:G44)</f>
        <v>0.24247729397871076</v>
      </c>
      <c r="H48" s="166"/>
      <c r="I48" s="166"/>
      <c r="J48" s="284" t="s">
        <v>34</v>
      </c>
      <c r="K48" s="463">
        <v>0.35</v>
      </c>
      <c r="L48" s="462">
        <v>0.3</v>
      </c>
      <c r="M48" s="462">
        <v>0.26</v>
      </c>
      <c r="N48" s="462"/>
      <c r="O48" s="458"/>
      <c r="P48" s="458"/>
      <c r="Q48" s="101"/>
      <c r="R48" s="166"/>
      <c r="S48" s="166"/>
      <c r="T48" s="166"/>
      <c r="U48" s="166"/>
      <c r="V48" s="166"/>
      <c r="W48" s="166"/>
      <c r="X48" s="166"/>
      <c r="Y48" s="166"/>
      <c r="Z48" s="166"/>
      <c r="AA48" s="166"/>
      <c r="AB48" s="166"/>
    </row>
    <row r="49" spans="3:31" x14ac:dyDescent="0.2">
      <c r="C49" s="471" t="s">
        <v>694</v>
      </c>
      <c r="D49" s="472">
        <f>COUNT(D35:D44)</f>
        <v>7</v>
      </c>
      <c r="E49" s="472">
        <f>COUNT(E35:E44)</f>
        <v>8</v>
      </c>
      <c r="F49" s="472">
        <f>COUNT(F35:F44)</f>
        <v>8</v>
      </c>
      <c r="G49" s="472">
        <f>COUNT(G35:G44)</f>
        <v>7</v>
      </c>
      <c r="H49" s="166"/>
      <c r="I49" s="166"/>
      <c r="J49" s="284" t="s">
        <v>35</v>
      </c>
      <c r="K49" s="462">
        <v>0.43</v>
      </c>
      <c r="L49" s="462">
        <v>0.45</v>
      </c>
      <c r="M49" s="462">
        <v>0.4</v>
      </c>
      <c r="N49" s="462">
        <v>0.3</v>
      </c>
      <c r="O49" s="464"/>
      <c r="P49" s="464"/>
      <c r="Q49" s="101"/>
      <c r="R49" s="166"/>
      <c r="S49" s="166"/>
      <c r="T49" s="166"/>
      <c r="U49" s="166"/>
      <c r="V49" s="166"/>
      <c r="W49" s="166"/>
      <c r="X49" s="166"/>
      <c r="Y49" s="166"/>
      <c r="Z49" s="166"/>
      <c r="AA49" s="166"/>
      <c r="AB49" s="166"/>
    </row>
    <row r="50" spans="3:31" x14ac:dyDescent="0.2">
      <c r="C50" s="287" t="s">
        <v>14</v>
      </c>
      <c r="D50" s="469">
        <f>D48/SQRT(7)</f>
        <v>7.480132415430947E-2</v>
      </c>
      <c r="E50" s="469">
        <f>E48/SQRT(8)</f>
        <v>7.945686161146108E-2</v>
      </c>
      <c r="F50" s="469">
        <f>F48/SQRT(8)</f>
        <v>9.5448892457841536E-2</v>
      </c>
      <c r="G50" s="469">
        <f>G48/SQRT(7)</f>
        <v>9.1647802635366871E-2</v>
      </c>
      <c r="H50" s="166"/>
      <c r="I50" s="166"/>
      <c r="O50" s="467"/>
      <c r="P50" s="467"/>
      <c r="Q50" s="101"/>
      <c r="R50" s="166"/>
      <c r="S50" s="166"/>
      <c r="T50" s="166"/>
      <c r="U50" s="166"/>
      <c r="V50" s="166"/>
      <c r="W50" s="166"/>
      <c r="X50" s="166"/>
      <c r="Y50" s="166"/>
      <c r="Z50" s="166"/>
      <c r="AA50" s="166"/>
      <c r="AB50" s="166"/>
    </row>
    <row r="51" spans="3:31" x14ac:dyDescent="0.2">
      <c r="I51" s="166"/>
      <c r="O51" s="470"/>
      <c r="P51" s="470"/>
      <c r="Q51" s="101"/>
      <c r="R51" s="166"/>
      <c r="S51" s="166"/>
      <c r="T51" s="166"/>
      <c r="U51" s="166"/>
      <c r="V51" s="166"/>
      <c r="W51" s="166"/>
      <c r="X51" s="166"/>
      <c r="Y51" s="166"/>
      <c r="Z51" s="166"/>
      <c r="AA51" s="166"/>
      <c r="AB51" s="166"/>
    </row>
    <row r="52" spans="3:31" x14ac:dyDescent="0.2">
      <c r="I52" s="166"/>
      <c r="J52" s="214" t="s">
        <v>51</v>
      </c>
      <c r="K52" s="468">
        <f>AVERAGE(K35:K37,K40:K43,K46:K49)</f>
        <v>0.36454545454545462</v>
      </c>
      <c r="L52" s="468">
        <f t="shared" ref="L52:N52" si="2">AVERAGE(L35:L37,L40:L43,L46:L49)</f>
        <v>0.35090909090909089</v>
      </c>
      <c r="M52" s="468">
        <f t="shared" si="2"/>
        <v>0.34666666666666668</v>
      </c>
      <c r="N52" s="468">
        <f t="shared" si="2"/>
        <v>0.33333333333333331</v>
      </c>
      <c r="O52" s="467"/>
      <c r="P52" s="467"/>
      <c r="Q52" s="101"/>
    </row>
    <row r="53" spans="3:31" x14ac:dyDescent="0.2">
      <c r="I53" s="166"/>
      <c r="J53" s="287" t="s">
        <v>13</v>
      </c>
      <c r="K53" s="469">
        <f>STDEV(K35:K37,K40:K43,K46:K49)</f>
        <v>7.0336851843629672E-2</v>
      </c>
      <c r="L53" s="469">
        <f t="shared" ref="L53:N53" si="3">STDEV(L35:L37,L40:L43,L46:L49)</f>
        <v>8.1173215466007628E-2</v>
      </c>
      <c r="M53" s="469">
        <f t="shared" si="3"/>
        <v>6.6231915770772268E-2</v>
      </c>
      <c r="N53" s="469">
        <f t="shared" si="3"/>
        <v>2.8867513459481284E-2</v>
      </c>
      <c r="O53" s="101"/>
      <c r="P53" s="101"/>
      <c r="Q53" s="101"/>
    </row>
    <row r="54" spans="3:31" x14ac:dyDescent="0.2">
      <c r="J54" s="471" t="s">
        <v>694</v>
      </c>
      <c r="K54" s="472">
        <f>COUNT(K35:K49)</f>
        <v>11</v>
      </c>
      <c r="L54" s="472">
        <f>COUNT(L35:L49)</f>
        <v>11</v>
      </c>
      <c r="M54" s="472">
        <f>COUNT(M35:M49)</f>
        <v>6</v>
      </c>
      <c r="N54" s="472">
        <f>COUNT(N35:N49)</f>
        <v>3</v>
      </c>
      <c r="O54" s="201"/>
      <c r="P54" s="201"/>
      <c r="Q54" s="201"/>
      <c r="S54" s="169"/>
      <c r="T54" s="170"/>
      <c r="U54" s="170"/>
      <c r="V54" s="170"/>
      <c r="W54" s="170"/>
      <c r="X54" s="170"/>
    </row>
    <row r="55" spans="3:31" x14ac:dyDescent="0.2">
      <c r="J55" s="287" t="s">
        <v>14</v>
      </c>
      <c r="K55" s="469">
        <f>K53/SQRT(K54)</f>
        <v>2.1207358772739736E-2</v>
      </c>
      <c r="L55" s="469">
        <f t="shared" ref="L55:N55" si="4">L53/SQRT(L54)</f>
        <v>2.4474645338856477E-2</v>
      </c>
      <c r="M55" s="469">
        <f t="shared" si="4"/>
        <v>2.7039066387564349E-2</v>
      </c>
      <c r="N55" s="469">
        <f t="shared" si="4"/>
        <v>1.6666666666666666E-2</v>
      </c>
      <c r="O55" s="201"/>
      <c r="P55" s="201"/>
      <c r="Q55" s="201"/>
      <c r="S55" s="169"/>
      <c r="T55" s="170"/>
      <c r="U55" s="170"/>
      <c r="V55" s="170"/>
      <c r="W55" s="170"/>
      <c r="X55" s="170"/>
    </row>
    <row r="56" spans="3:31" x14ac:dyDescent="0.2">
      <c r="S56" s="169"/>
      <c r="T56" s="170"/>
      <c r="U56" s="170"/>
      <c r="V56" s="170"/>
      <c r="W56" s="170"/>
      <c r="X56" s="170"/>
      <c r="Z56" s="169"/>
      <c r="AA56" s="170"/>
      <c r="AB56" s="170"/>
      <c r="AC56" s="170"/>
      <c r="AD56" s="170"/>
      <c r="AE56" s="170"/>
    </row>
    <row r="57" spans="3:31" x14ac:dyDescent="0.2">
      <c r="S57" s="169"/>
      <c r="T57" s="170"/>
      <c r="U57" s="170"/>
      <c r="V57" s="170"/>
      <c r="W57" s="170"/>
      <c r="X57" s="170"/>
      <c r="Z57" s="169"/>
      <c r="AA57" s="170"/>
      <c r="AB57" s="170"/>
      <c r="AC57" s="170"/>
      <c r="AD57" s="170"/>
      <c r="AE57" s="170"/>
    </row>
    <row r="58" spans="3:31" x14ac:dyDescent="0.2">
      <c r="C58" s="456" t="s">
        <v>933</v>
      </c>
      <c r="D58" s="135" t="s">
        <v>928</v>
      </c>
      <c r="E58" s="456"/>
      <c r="F58" s="456"/>
      <c r="G58" s="135"/>
      <c r="J58" s="456" t="s">
        <v>933</v>
      </c>
      <c r="K58" s="135" t="s">
        <v>928</v>
      </c>
      <c r="L58" s="456"/>
      <c r="M58" s="456"/>
      <c r="N58" s="198"/>
    </row>
    <row r="59" spans="3:31" x14ac:dyDescent="0.2">
      <c r="C59" s="282" t="s">
        <v>939</v>
      </c>
      <c r="D59" s="459" t="s">
        <v>929</v>
      </c>
      <c r="E59" s="459" t="s">
        <v>930</v>
      </c>
      <c r="F59" s="459" t="s">
        <v>931</v>
      </c>
      <c r="G59" s="460" t="s">
        <v>932</v>
      </c>
      <c r="J59" s="282" t="s">
        <v>663</v>
      </c>
      <c r="K59" s="459" t="s">
        <v>929</v>
      </c>
      <c r="L59" s="459" t="s">
        <v>930</v>
      </c>
      <c r="M59" s="459" t="s">
        <v>931</v>
      </c>
      <c r="N59" s="460" t="s">
        <v>932</v>
      </c>
      <c r="S59" s="169"/>
      <c r="T59" s="170"/>
      <c r="U59" s="170"/>
      <c r="V59" s="170"/>
      <c r="W59" s="170"/>
      <c r="X59" s="170"/>
      <c r="Z59" s="169"/>
      <c r="AA59" s="170"/>
      <c r="AB59" s="170"/>
      <c r="AC59" s="170"/>
      <c r="AD59" s="170"/>
      <c r="AE59" s="170"/>
    </row>
    <row r="60" spans="3:31" x14ac:dyDescent="0.2">
      <c r="C60" s="284" t="s">
        <v>32</v>
      </c>
      <c r="D60" s="462">
        <v>0.75</v>
      </c>
      <c r="E60" s="462">
        <v>0.83</v>
      </c>
      <c r="F60" s="463">
        <v>1</v>
      </c>
      <c r="G60" s="462">
        <v>0.96</v>
      </c>
      <c r="J60" s="284" t="s">
        <v>32</v>
      </c>
      <c r="K60" s="462">
        <v>0.26</v>
      </c>
      <c r="L60" s="462">
        <v>0.26</v>
      </c>
      <c r="M60" s="462">
        <v>0.1</v>
      </c>
      <c r="N60" s="462">
        <v>0</v>
      </c>
      <c r="S60" s="169"/>
      <c r="T60" s="170"/>
      <c r="U60" s="170"/>
      <c r="V60" s="170"/>
      <c r="W60" s="170"/>
      <c r="X60" s="170"/>
      <c r="Z60" s="169"/>
      <c r="AA60" s="170"/>
      <c r="AB60" s="170"/>
      <c r="AC60" s="170"/>
      <c r="AD60" s="170"/>
      <c r="AE60" s="170"/>
    </row>
    <row r="61" spans="3:31" x14ac:dyDescent="0.2">
      <c r="C61" s="284" t="s">
        <v>33</v>
      </c>
      <c r="D61" s="462">
        <v>0.8</v>
      </c>
      <c r="E61" s="462">
        <v>0.9</v>
      </c>
      <c r="F61" s="463">
        <v>0.92</v>
      </c>
      <c r="G61" s="462"/>
      <c r="J61" s="284" t="s">
        <v>33</v>
      </c>
      <c r="K61" s="462">
        <v>0.12</v>
      </c>
      <c r="L61" s="462">
        <v>0.12</v>
      </c>
      <c r="M61" s="462"/>
      <c r="N61" s="462"/>
      <c r="S61" s="169"/>
      <c r="T61" s="170"/>
      <c r="U61" s="170"/>
      <c r="V61" s="170"/>
      <c r="W61" s="170"/>
      <c r="X61" s="170"/>
      <c r="Z61" s="169"/>
      <c r="AA61" s="170"/>
      <c r="AB61" s="170"/>
      <c r="AC61" s="170"/>
      <c r="AD61" s="170"/>
      <c r="AE61" s="170"/>
    </row>
    <row r="62" spans="3:31" x14ac:dyDescent="0.2">
      <c r="C62" s="284" t="s">
        <v>34</v>
      </c>
      <c r="D62" s="462">
        <v>1.55</v>
      </c>
      <c r="E62" s="462">
        <v>1.61</v>
      </c>
      <c r="F62" s="463">
        <v>1.7</v>
      </c>
      <c r="G62" s="462">
        <v>1.64</v>
      </c>
      <c r="J62" s="284" t="s">
        <v>34</v>
      </c>
      <c r="K62" s="462">
        <v>0.15</v>
      </c>
      <c r="L62" s="462"/>
      <c r="M62" s="462"/>
      <c r="N62" s="462"/>
    </row>
    <row r="63" spans="3:31" x14ac:dyDescent="0.2">
      <c r="C63" s="284" t="s">
        <v>35</v>
      </c>
      <c r="D63" s="462">
        <v>0.76</v>
      </c>
      <c r="E63" s="462">
        <v>0.82</v>
      </c>
      <c r="F63" s="463">
        <v>0.8</v>
      </c>
      <c r="G63" s="462">
        <v>0.84</v>
      </c>
      <c r="H63" s="166"/>
      <c r="I63" s="166"/>
      <c r="N63" s="166"/>
      <c r="S63" s="169"/>
      <c r="T63" s="170"/>
      <c r="U63" s="170"/>
      <c r="V63" s="170"/>
      <c r="W63" s="170"/>
      <c r="X63" s="174"/>
      <c r="Z63" s="169"/>
      <c r="AA63" s="170"/>
      <c r="AB63" s="170"/>
      <c r="AC63" s="170"/>
      <c r="AD63" s="170"/>
      <c r="AE63" s="174"/>
    </row>
    <row r="64" spans="3:31" x14ac:dyDescent="0.2">
      <c r="H64" s="166"/>
      <c r="I64" s="166"/>
      <c r="J64" s="282" t="s">
        <v>664</v>
      </c>
      <c r="K64" s="459" t="s">
        <v>929</v>
      </c>
      <c r="L64" s="459" t="s">
        <v>930</v>
      </c>
      <c r="M64" s="459" t="s">
        <v>931</v>
      </c>
      <c r="N64" s="503" t="s">
        <v>932</v>
      </c>
      <c r="S64" s="169"/>
      <c r="T64" s="170"/>
      <c r="U64" s="170"/>
      <c r="V64" s="170"/>
      <c r="W64" s="170"/>
      <c r="X64" s="174"/>
      <c r="Z64" s="169"/>
      <c r="AA64" s="170"/>
      <c r="AB64" s="170"/>
      <c r="AC64" s="170"/>
      <c r="AD64" s="170"/>
      <c r="AE64" s="170"/>
    </row>
    <row r="65" spans="2:31" x14ac:dyDescent="0.2">
      <c r="C65" s="282" t="s">
        <v>938</v>
      </c>
      <c r="D65" s="459" t="s">
        <v>929</v>
      </c>
      <c r="E65" s="459" t="s">
        <v>930</v>
      </c>
      <c r="F65" s="459" t="s">
        <v>931</v>
      </c>
      <c r="G65" s="460" t="s">
        <v>932</v>
      </c>
      <c r="H65" s="166"/>
      <c r="I65" s="166"/>
      <c r="J65" s="284" t="s">
        <v>32</v>
      </c>
      <c r="K65" s="463">
        <v>0.15</v>
      </c>
      <c r="L65" s="462"/>
      <c r="M65" s="462"/>
      <c r="N65" s="462"/>
      <c r="S65" s="169"/>
      <c r="T65" s="170"/>
      <c r="U65" s="170"/>
      <c r="V65" s="170"/>
      <c r="W65" s="170"/>
      <c r="X65" s="174"/>
      <c r="Z65" s="169"/>
      <c r="AA65" s="170"/>
      <c r="AB65" s="170"/>
      <c r="AC65" s="170"/>
      <c r="AD65" s="170"/>
      <c r="AE65" s="170"/>
    </row>
    <row r="66" spans="2:31" x14ac:dyDescent="0.2">
      <c r="C66" s="284" t="s">
        <v>32</v>
      </c>
      <c r="D66" s="462">
        <v>0.8</v>
      </c>
      <c r="E66" s="462">
        <v>0.8</v>
      </c>
      <c r="F66" s="463">
        <v>0.88</v>
      </c>
      <c r="G66" s="462">
        <v>0.85</v>
      </c>
      <c r="H66" s="166"/>
      <c r="I66" s="166"/>
      <c r="J66" s="284" t="s">
        <v>33</v>
      </c>
      <c r="K66" s="463">
        <v>0.15</v>
      </c>
      <c r="L66" s="462">
        <v>0.18</v>
      </c>
      <c r="M66" s="462"/>
      <c r="N66" s="462"/>
    </row>
    <row r="67" spans="2:31" x14ac:dyDescent="0.2">
      <c r="C67" s="284" t="s">
        <v>33</v>
      </c>
      <c r="D67" s="462">
        <v>1</v>
      </c>
      <c r="E67" s="462">
        <v>1</v>
      </c>
      <c r="F67" s="463">
        <v>1.1499999999999999</v>
      </c>
      <c r="G67" s="462">
        <v>1.25</v>
      </c>
      <c r="H67" s="166"/>
      <c r="I67" s="166"/>
      <c r="J67" s="284" t="s">
        <v>34</v>
      </c>
      <c r="K67" s="463">
        <v>0.22</v>
      </c>
      <c r="L67" s="462"/>
      <c r="M67" s="462"/>
      <c r="N67" s="462"/>
      <c r="S67" s="169"/>
      <c r="T67" s="170"/>
      <c r="U67" s="170"/>
      <c r="V67" s="170"/>
      <c r="W67" s="170"/>
      <c r="X67" s="174"/>
      <c r="Z67" s="169"/>
      <c r="AA67" s="170"/>
      <c r="AB67" s="170"/>
      <c r="AC67" s="170"/>
      <c r="AD67" s="170"/>
      <c r="AE67" s="170"/>
    </row>
    <row r="68" spans="2:31" x14ac:dyDescent="0.2">
      <c r="C68" s="284" t="s">
        <v>34</v>
      </c>
      <c r="D68" s="462">
        <v>1.18</v>
      </c>
      <c r="E68" s="462">
        <v>1.2</v>
      </c>
      <c r="F68" s="463">
        <v>1.24</v>
      </c>
      <c r="G68" s="462">
        <v>1.3</v>
      </c>
      <c r="H68" s="166"/>
      <c r="I68" s="166"/>
      <c r="J68" s="284" t="s">
        <v>35</v>
      </c>
      <c r="K68" s="463">
        <v>0.08</v>
      </c>
      <c r="L68" s="462"/>
      <c r="M68" s="462"/>
      <c r="N68" s="462"/>
      <c r="S68" s="169"/>
      <c r="T68" s="170"/>
      <c r="U68" s="170"/>
      <c r="V68" s="170"/>
      <c r="W68" s="170"/>
      <c r="X68" s="174"/>
      <c r="Z68" s="169"/>
      <c r="AA68" s="170"/>
      <c r="AB68" s="170"/>
      <c r="AC68" s="170"/>
      <c r="AD68" s="170"/>
      <c r="AE68" s="170"/>
    </row>
    <row r="69" spans="2:31" x14ac:dyDescent="0.2">
      <c r="C69" s="284" t="s">
        <v>35</v>
      </c>
      <c r="D69" s="462">
        <v>1.31</v>
      </c>
      <c r="E69" s="462">
        <v>1.35</v>
      </c>
      <c r="F69" s="463">
        <v>1.4</v>
      </c>
      <c r="G69" s="462">
        <v>1.45</v>
      </c>
      <c r="H69" s="166"/>
      <c r="I69" s="166"/>
      <c r="N69" s="166"/>
      <c r="S69" s="169"/>
      <c r="T69" s="170"/>
      <c r="U69" s="170"/>
      <c r="V69" s="170"/>
      <c r="W69" s="170"/>
      <c r="X69" s="174"/>
      <c r="Z69" s="169"/>
      <c r="AA69" s="170"/>
      <c r="AB69" s="170"/>
      <c r="AC69" s="170"/>
      <c r="AD69" s="170"/>
      <c r="AE69" s="174"/>
    </row>
    <row r="70" spans="2:31" x14ac:dyDescent="0.2">
      <c r="H70" s="166"/>
      <c r="I70" s="166"/>
      <c r="J70" s="282" t="s">
        <v>664</v>
      </c>
      <c r="K70" s="459" t="s">
        <v>929</v>
      </c>
      <c r="L70" s="459" t="s">
        <v>930</v>
      </c>
      <c r="M70" s="459" t="s">
        <v>931</v>
      </c>
      <c r="N70" s="503" t="s">
        <v>932</v>
      </c>
    </row>
    <row r="71" spans="2:31" x14ac:dyDescent="0.2">
      <c r="H71" s="166"/>
      <c r="I71" s="166"/>
      <c r="J71" s="284" t="s">
        <v>32</v>
      </c>
      <c r="K71" s="463">
        <v>0.12</v>
      </c>
      <c r="L71" s="462">
        <v>0.14000000000000001</v>
      </c>
      <c r="M71" s="462">
        <v>0.1</v>
      </c>
      <c r="N71" s="462">
        <v>0</v>
      </c>
      <c r="S71" s="169"/>
      <c r="T71" s="170"/>
      <c r="U71" s="170"/>
      <c r="V71" s="170"/>
      <c r="W71" s="170"/>
      <c r="X71" s="170"/>
      <c r="Z71" s="169"/>
      <c r="AA71" s="170"/>
      <c r="AB71" s="170"/>
      <c r="AC71" s="170"/>
      <c r="AD71" s="170"/>
      <c r="AE71" s="170"/>
    </row>
    <row r="72" spans="2:31" x14ac:dyDescent="0.2">
      <c r="B72" s="101"/>
      <c r="C72" s="214" t="s">
        <v>51</v>
      </c>
      <c r="D72" s="463">
        <f>AVERAGE(D60:D63,D66:D69)</f>
        <v>1.01875</v>
      </c>
      <c r="E72" s="463">
        <f>AVERAGE(E60:E63,E66:E69)</f>
        <v>1.06375</v>
      </c>
      <c r="F72" s="463">
        <f>AVERAGE(F60:F63,F66:F69)</f>
        <v>1.13625</v>
      </c>
      <c r="G72" s="463">
        <f>AVERAGE(G60:G63,G66:G69)</f>
        <v>1.1842857142857142</v>
      </c>
      <c r="H72" s="166"/>
      <c r="I72" s="166"/>
      <c r="J72" s="284" t="s">
        <v>33</v>
      </c>
      <c r="K72" s="463">
        <v>0.19</v>
      </c>
      <c r="L72" s="462"/>
      <c r="M72" s="462"/>
      <c r="N72" s="462"/>
      <c r="S72" s="169"/>
      <c r="T72" s="170"/>
      <c r="U72" s="170"/>
      <c r="V72" s="170"/>
      <c r="W72" s="170"/>
      <c r="X72" s="170"/>
      <c r="Z72" s="169"/>
      <c r="AA72" s="170"/>
      <c r="AB72" s="170"/>
      <c r="AC72" s="170"/>
      <c r="AD72" s="170"/>
      <c r="AE72" s="170"/>
    </row>
    <row r="73" spans="2:31" x14ac:dyDescent="0.2">
      <c r="B73" s="101"/>
      <c r="C73" s="214" t="s">
        <v>13</v>
      </c>
      <c r="D73" s="463">
        <f>STDEV(D60:D63,D66:D69)</f>
        <v>0.29959198444360541</v>
      </c>
      <c r="E73" s="463">
        <f>STDEV(E60:E63,E66:E69)</f>
        <v>0.29601821855130084</v>
      </c>
      <c r="F73" s="463">
        <f>STDEV(F60:F63,F66:F69)</f>
        <v>0.30293504725789422</v>
      </c>
      <c r="G73" s="463">
        <f>STDEV(G60:G63,G66:G69)</f>
        <v>0.30999231941330063</v>
      </c>
      <c r="H73" s="166"/>
      <c r="I73" s="166"/>
      <c r="J73" s="284" t="s">
        <v>34</v>
      </c>
      <c r="K73" s="463">
        <v>0.15</v>
      </c>
      <c r="L73" s="462">
        <v>0.18</v>
      </c>
      <c r="M73" s="462"/>
      <c r="N73" s="462"/>
      <c r="S73" s="169"/>
      <c r="T73" s="170"/>
      <c r="U73" s="170"/>
      <c r="V73" s="170"/>
      <c r="W73" s="170"/>
      <c r="X73" s="174"/>
      <c r="Z73" s="169"/>
      <c r="AA73" s="170"/>
      <c r="AB73" s="170"/>
      <c r="AC73" s="170"/>
      <c r="AD73" s="170"/>
      <c r="AE73" s="174"/>
    </row>
    <row r="74" spans="2:31" x14ac:dyDescent="0.2">
      <c r="B74" s="101"/>
      <c r="C74" s="478" t="s">
        <v>694</v>
      </c>
      <c r="D74" s="479">
        <v>8</v>
      </c>
      <c r="E74" s="479">
        <v>8</v>
      </c>
      <c r="F74" s="479">
        <v>8</v>
      </c>
      <c r="G74" s="479">
        <f>COUNT(G60:G69)</f>
        <v>7</v>
      </c>
      <c r="H74" s="166"/>
      <c r="I74" s="166"/>
      <c r="J74" s="284" t="s">
        <v>35</v>
      </c>
      <c r="K74" s="462">
        <v>0.22</v>
      </c>
      <c r="L74" s="462">
        <v>0.18</v>
      </c>
      <c r="M74" s="462"/>
      <c r="N74" s="462"/>
    </row>
    <row r="75" spans="2:31" x14ac:dyDescent="0.2">
      <c r="B75" s="101"/>
      <c r="C75" s="214" t="s">
        <v>14</v>
      </c>
      <c r="D75" s="463">
        <f>D73/SQRT(8)</f>
        <v>0.10592176189460402</v>
      </c>
      <c r="E75" s="463">
        <f t="shared" ref="E75:F75" si="5">E73/SQRT(8)</f>
        <v>0.10465824484619314</v>
      </c>
      <c r="F75" s="463">
        <f t="shared" si="5"/>
        <v>0.10710371308756211</v>
      </c>
      <c r="G75" s="463">
        <f>G73/SQRT(7)</f>
        <v>0.11716608364395621</v>
      </c>
      <c r="H75" s="166"/>
      <c r="I75" s="166"/>
      <c r="N75" s="166"/>
      <c r="S75" s="169"/>
      <c r="T75" s="170"/>
      <c r="U75" s="170"/>
      <c r="V75" s="170"/>
      <c r="W75" s="170"/>
      <c r="X75" s="170"/>
      <c r="Z75" s="169"/>
      <c r="AA75" s="170"/>
      <c r="AB75" s="170"/>
      <c r="AC75" s="170"/>
      <c r="AD75" s="170"/>
      <c r="AE75" s="170"/>
    </row>
    <row r="76" spans="2:31" x14ac:dyDescent="0.2">
      <c r="B76" s="101"/>
      <c r="H76" s="166"/>
      <c r="I76" s="166"/>
      <c r="J76" s="166"/>
      <c r="K76" s="166"/>
      <c r="L76" s="166"/>
      <c r="M76" s="166"/>
      <c r="N76" s="166"/>
      <c r="S76" s="169"/>
      <c r="T76" s="170"/>
      <c r="U76" s="170"/>
      <c r="V76" s="170"/>
      <c r="W76" s="170"/>
      <c r="X76" s="170"/>
      <c r="Z76" s="169"/>
      <c r="AA76" s="170"/>
      <c r="AB76" s="170"/>
      <c r="AC76" s="170"/>
      <c r="AD76" s="170"/>
      <c r="AE76" s="170"/>
    </row>
    <row r="77" spans="2:31" x14ac:dyDescent="0.2">
      <c r="B77" s="288"/>
      <c r="H77" s="166"/>
      <c r="I77" s="166"/>
      <c r="J77" s="214" t="s">
        <v>51</v>
      </c>
      <c r="K77" s="468">
        <f>AVERAGE(K60:K62,K65:K68,K71:K74)</f>
        <v>0.16454545454545452</v>
      </c>
      <c r="L77" s="468">
        <f>AVERAGE(L60:L62,L65:L68,L71:L74)</f>
        <v>0.17666666666666667</v>
      </c>
      <c r="M77" s="468">
        <f>AVERAGE(M60:M62,M65:M68,M71:M74)</f>
        <v>0.1</v>
      </c>
      <c r="N77" s="468">
        <f>AVERAGE(N60:N62,N65:N68,N71:N74)</f>
        <v>0</v>
      </c>
      <c r="S77" s="169"/>
      <c r="T77" s="170"/>
      <c r="U77" s="170"/>
      <c r="V77" s="170"/>
      <c r="W77" s="170"/>
      <c r="X77" s="170"/>
      <c r="Z77" s="169"/>
      <c r="AA77" s="170"/>
      <c r="AB77" s="170"/>
      <c r="AC77" s="170"/>
      <c r="AD77" s="170"/>
      <c r="AE77" s="170"/>
    </row>
    <row r="78" spans="2:31" x14ac:dyDescent="0.2">
      <c r="B78" s="288"/>
      <c r="H78" s="166"/>
      <c r="I78" s="166"/>
      <c r="J78" s="287" t="s">
        <v>13</v>
      </c>
      <c r="K78" s="469">
        <f>STDEV(K60:K62,K65:K68,K71:K74)</f>
        <v>5.279462782587574E-2</v>
      </c>
      <c r="L78" s="469">
        <f t="shared" ref="L78" si="6">STDEV(L60:L62,L65:L68,L71:L74)</f>
        <v>4.8027769744874237E-2</v>
      </c>
      <c r="M78" s="469">
        <v>0</v>
      </c>
      <c r="N78" s="469">
        <v>0</v>
      </c>
    </row>
    <row r="79" spans="2:31" x14ac:dyDescent="0.2">
      <c r="B79" s="101"/>
      <c r="H79" s="166"/>
      <c r="I79" s="166"/>
      <c r="J79" s="471" t="s">
        <v>694</v>
      </c>
      <c r="K79" s="472">
        <f>COUNT(K60:K74)</f>
        <v>11</v>
      </c>
      <c r="L79" s="472">
        <f>COUNT(L60:L74)</f>
        <v>6</v>
      </c>
      <c r="M79" s="472">
        <f>COUNT(M60:M74)</f>
        <v>2</v>
      </c>
      <c r="N79" s="472">
        <v>2</v>
      </c>
      <c r="S79" s="169"/>
      <c r="T79" s="170"/>
      <c r="U79" s="170"/>
      <c r="V79" s="170"/>
      <c r="W79" s="170"/>
      <c r="X79" s="174"/>
      <c r="Z79" s="169"/>
      <c r="AA79" s="170"/>
      <c r="AB79" s="170"/>
      <c r="AC79" s="170"/>
      <c r="AD79" s="170"/>
      <c r="AE79" s="170"/>
    </row>
    <row r="80" spans="2:31" x14ac:dyDescent="0.2">
      <c r="B80" s="101"/>
      <c r="H80" s="166"/>
      <c r="I80" s="166"/>
      <c r="J80" s="287" t="s">
        <v>14</v>
      </c>
      <c r="K80" s="469">
        <f>K78/SQRT(K79)</f>
        <v>1.5918179222262407E-2</v>
      </c>
      <c r="L80" s="469">
        <f t="shared" ref="L80" si="7">L78/SQRT(L79)</f>
        <v>1.9607254893136951E-2</v>
      </c>
      <c r="M80" s="469">
        <v>0</v>
      </c>
      <c r="N80" s="480">
        <v>0</v>
      </c>
      <c r="S80" s="169"/>
      <c r="T80" s="170"/>
      <c r="U80" s="170"/>
      <c r="V80" s="170"/>
      <c r="W80" s="170"/>
      <c r="X80" s="174"/>
      <c r="Z80" s="169"/>
      <c r="AA80" s="170"/>
      <c r="AB80" s="170"/>
      <c r="AC80" s="170"/>
      <c r="AD80" s="170"/>
      <c r="AE80" s="170"/>
    </row>
    <row r="81" spans="2:31" x14ac:dyDescent="0.2">
      <c r="B81" s="101"/>
      <c r="S81" s="169"/>
      <c r="T81" s="170"/>
      <c r="U81" s="170"/>
      <c r="V81" s="170"/>
      <c r="W81" s="170"/>
      <c r="X81" s="174"/>
      <c r="Z81" s="169"/>
      <c r="AA81" s="170"/>
      <c r="AB81" s="170"/>
      <c r="AC81" s="170"/>
      <c r="AD81" s="170"/>
      <c r="AE81" s="170"/>
    </row>
    <row r="82" spans="2:31" x14ac:dyDescent="0.2">
      <c r="B82" s="288"/>
    </row>
    <row r="83" spans="2:31" x14ac:dyDescent="0.2">
      <c r="B83" s="288"/>
      <c r="S83" s="169"/>
      <c r="T83" s="170"/>
      <c r="U83" s="170"/>
      <c r="V83" s="170"/>
      <c r="W83" s="170"/>
      <c r="X83" s="174"/>
      <c r="Z83" s="169"/>
      <c r="AA83" s="170"/>
      <c r="AB83" s="170"/>
      <c r="AC83" s="170"/>
      <c r="AD83" s="170"/>
      <c r="AE83" s="170"/>
    </row>
    <row r="84" spans="2:31" x14ac:dyDescent="0.2">
      <c r="B84" s="288"/>
      <c r="S84" s="169"/>
      <c r="T84" s="170"/>
      <c r="U84" s="170"/>
      <c r="V84" s="170"/>
      <c r="W84" s="170"/>
      <c r="X84" s="174"/>
      <c r="Z84" s="169"/>
      <c r="AA84" s="170"/>
      <c r="AB84" s="170"/>
      <c r="AC84" s="170"/>
      <c r="AD84" s="170"/>
      <c r="AE84" s="170"/>
    </row>
    <row r="85" spans="2:31" x14ac:dyDescent="0.2">
      <c r="B85" s="288"/>
      <c r="C85" s="244"/>
      <c r="D85" s="200" t="s">
        <v>928</v>
      </c>
      <c r="E85" s="254"/>
      <c r="F85" s="254"/>
      <c r="G85" s="254"/>
      <c r="J85" s="254"/>
      <c r="L85" s="217" t="s">
        <v>934</v>
      </c>
      <c r="M85" s="254"/>
      <c r="N85" s="254"/>
      <c r="S85" s="169"/>
      <c r="T85" s="170"/>
      <c r="U85" s="170"/>
      <c r="V85" s="170"/>
      <c r="W85" s="170"/>
      <c r="X85" s="170"/>
      <c r="Z85" s="169"/>
      <c r="AA85" s="170"/>
      <c r="AB85" s="170"/>
      <c r="AC85" s="170"/>
      <c r="AD85" s="170"/>
      <c r="AE85" s="170"/>
    </row>
    <row r="86" spans="2:31" x14ac:dyDescent="0.2">
      <c r="B86" s="288" t="s">
        <v>51</v>
      </c>
      <c r="C86" s="282" t="s">
        <v>1</v>
      </c>
      <c r="D86" s="459" t="s">
        <v>929</v>
      </c>
      <c r="E86" s="459" t="s">
        <v>930</v>
      </c>
      <c r="F86" s="459" t="s">
        <v>931</v>
      </c>
      <c r="G86" s="460" t="s">
        <v>932</v>
      </c>
      <c r="I86" s="223" t="s">
        <v>935</v>
      </c>
      <c r="J86" s="282" t="s">
        <v>1</v>
      </c>
      <c r="K86" s="459" t="s">
        <v>929</v>
      </c>
      <c r="L86" s="459" t="s">
        <v>930</v>
      </c>
      <c r="M86" s="459" t="s">
        <v>931</v>
      </c>
      <c r="N86" s="460" t="s">
        <v>932</v>
      </c>
    </row>
    <row r="87" spans="2:31" x14ac:dyDescent="0.2">
      <c r="B87" s="101"/>
      <c r="C87" s="209" t="s">
        <v>690</v>
      </c>
      <c r="D87" s="481">
        <v>0.66800000000000004</v>
      </c>
      <c r="E87" s="413">
        <v>0.69857142857142851</v>
      </c>
      <c r="F87" s="413">
        <v>0.66749999999999998</v>
      </c>
      <c r="G87" s="413">
        <v>0.64142857142857146</v>
      </c>
      <c r="I87" s="217" t="s">
        <v>936</v>
      </c>
      <c r="J87" s="209" t="s">
        <v>690</v>
      </c>
      <c r="K87" s="413">
        <f t="shared" ref="K87:N89" si="8">D87/$D$87</f>
        <v>1</v>
      </c>
      <c r="L87" s="413">
        <f t="shared" si="8"/>
        <v>1.0457656116338749</v>
      </c>
      <c r="M87" s="413">
        <f t="shared" si="8"/>
        <v>0.99925149700598792</v>
      </c>
      <c r="N87" s="413">
        <f t="shared" si="8"/>
        <v>0.9602224123182207</v>
      </c>
    </row>
    <row r="88" spans="2:31" x14ac:dyDescent="0.2">
      <c r="B88" s="288"/>
      <c r="C88" s="209" t="s">
        <v>692</v>
      </c>
      <c r="D88" s="481">
        <v>0.88</v>
      </c>
      <c r="E88" s="413">
        <v>0.86249999999999993</v>
      </c>
      <c r="F88" s="413">
        <v>0.89624999999999988</v>
      </c>
      <c r="G88" s="413">
        <v>0.94571428571428573</v>
      </c>
      <c r="I88" s="254"/>
      <c r="J88" s="209" t="s">
        <v>692</v>
      </c>
      <c r="K88" s="413">
        <f t="shared" si="8"/>
        <v>1.3173652694610778</v>
      </c>
      <c r="L88" s="413">
        <f t="shared" si="8"/>
        <v>1.2911676646706585</v>
      </c>
      <c r="M88" s="413">
        <f t="shared" si="8"/>
        <v>1.3416916167664668</v>
      </c>
      <c r="N88" s="413">
        <f t="shared" si="8"/>
        <v>1.4157399486740803</v>
      </c>
    </row>
    <row r="89" spans="2:31" x14ac:dyDescent="0.2">
      <c r="B89" s="101"/>
      <c r="C89" s="209" t="s">
        <v>693</v>
      </c>
      <c r="D89" s="481">
        <v>1.01875</v>
      </c>
      <c r="E89" s="413">
        <v>1.06375</v>
      </c>
      <c r="F89" s="413">
        <v>1.13625</v>
      </c>
      <c r="G89" s="413">
        <v>1.1842857142857142</v>
      </c>
      <c r="I89" s="254"/>
      <c r="J89" s="209" t="s">
        <v>1154</v>
      </c>
      <c r="K89" s="413">
        <f t="shared" si="8"/>
        <v>1.5250748502994012</v>
      </c>
      <c r="L89" s="413">
        <f t="shared" si="8"/>
        <v>1.5924401197604789</v>
      </c>
      <c r="M89" s="413">
        <f t="shared" si="8"/>
        <v>1.7009730538922154</v>
      </c>
      <c r="N89" s="413">
        <f t="shared" si="8"/>
        <v>1.7728828058169372</v>
      </c>
    </row>
    <row r="90" spans="2:31" x14ac:dyDescent="0.2">
      <c r="B90" s="101"/>
      <c r="C90" s="282" t="s">
        <v>296</v>
      </c>
      <c r="D90" s="459" t="s">
        <v>929</v>
      </c>
      <c r="E90" s="459" t="s">
        <v>930</v>
      </c>
      <c r="F90" s="459" t="s">
        <v>931</v>
      </c>
      <c r="G90" s="460" t="s">
        <v>932</v>
      </c>
      <c r="I90" s="254"/>
      <c r="J90" s="282" t="s">
        <v>296</v>
      </c>
      <c r="K90" s="459" t="s">
        <v>929</v>
      </c>
      <c r="L90" s="459" t="s">
        <v>930</v>
      </c>
      <c r="M90" s="459" t="s">
        <v>931</v>
      </c>
      <c r="N90" s="460" t="s">
        <v>932</v>
      </c>
      <c r="S90" s="169"/>
      <c r="T90" s="170"/>
      <c r="U90" s="170"/>
      <c r="V90" s="170"/>
      <c r="W90" s="170"/>
      <c r="X90" s="170"/>
    </row>
    <row r="91" spans="2:31" x14ac:dyDescent="0.2">
      <c r="C91" s="209" t="s">
        <v>690</v>
      </c>
      <c r="D91" s="413">
        <v>0.39454545454545453</v>
      </c>
      <c r="E91" s="413">
        <v>0.376</v>
      </c>
      <c r="F91" s="413">
        <v>0.35</v>
      </c>
      <c r="G91" s="413">
        <v>0.28000000000000003</v>
      </c>
      <c r="I91" s="254"/>
      <c r="J91" s="209" t="s">
        <v>690</v>
      </c>
      <c r="K91" s="413">
        <f t="shared" ref="K91:N93" si="9">D91/$D$87</f>
        <v>0.59063690800217739</v>
      </c>
      <c r="L91" s="413">
        <f t="shared" si="9"/>
        <v>0.56287425149700598</v>
      </c>
      <c r="M91" s="413">
        <f t="shared" si="9"/>
        <v>0.5239520958083832</v>
      </c>
      <c r="N91" s="413">
        <f t="shared" si="9"/>
        <v>0.41916167664670662</v>
      </c>
      <c r="S91" s="169"/>
      <c r="T91" s="170"/>
      <c r="U91" s="170"/>
      <c r="V91" s="170"/>
      <c r="W91" s="170"/>
      <c r="X91" s="170"/>
    </row>
    <row r="92" spans="2:31" x14ac:dyDescent="0.2">
      <c r="B92" s="254"/>
      <c r="C92" s="209" t="s">
        <v>692</v>
      </c>
      <c r="D92" s="413">
        <v>0.36454545454545462</v>
      </c>
      <c r="E92" s="413">
        <v>0.35090909090909089</v>
      </c>
      <c r="F92" s="413">
        <v>0.34666666666666668</v>
      </c>
      <c r="G92" s="413">
        <v>0.33333333333333331</v>
      </c>
      <c r="I92" s="254"/>
      <c r="J92" s="209" t="s">
        <v>692</v>
      </c>
      <c r="K92" s="413">
        <f t="shared" si="9"/>
        <v>0.54572672836145897</v>
      </c>
      <c r="L92" s="413">
        <f t="shared" si="9"/>
        <v>0.52531301034295041</v>
      </c>
      <c r="M92" s="413">
        <f t="shared" si="9"/>
        <v>0.51896207584830334</v>
      </c>
      <c r="N92" s="413">
        <f t="shared" si="9"/>
        <v>0.49900199600798395</v>
      </c>
      <c r="S92" s="2"/>
      <c r="T92" s="1"/>
      <c r="U92" s="1"/>
      <c r="V92" s="1"/>
      <c r="W92" s="1"/>
      <c r="X92" s="1"/>
    </row>
    <row r="93" spans="2:31" x14ac:dyDescent="0.2">
      <c r="B93" s="254"/>
      <c r="C93" s="209" t="s">
        <v>693</v>
      </c>
      <c r="D93" s="413">
        <v>0.16454545454545452</v>
      </c>
      <c r="E93" s="413">
        <v>0.17666666666666667</v>
      </c>
      <c r="F93" s="413">
        <v>0.1</v>
      </c>
      <c r="G93" s="413">
        <v>0</v>
      </c>
      <c r="I93" s="254"/>
      <c r="J93" s="209" t="s">
        <v>1154</v>
      </c>
      <c r="K93" s="413">
        <f t="shared" si="9"/>
        <v>0.24632553075666844</v>
      </c>
      <c r="L93" s="413">
        <f t="shared" si="9"/>
        <v>0.26447105788423153</v>
      </c>
      <c r="M93" s="413">
        <f t="shared" si="9"/>
        <v>0.1497005988023952</v>
      </c>
      <c r="N93" s="413">
        <f t="shared" si="9"/>
        <v>0</v>
      </c>
      <c r="S93" s="2"/>
      <c r="T93" s="1"/>
      <c r="U93" s="1"/>
      <c r="V93" s="1"/>
      <c r="W93" s="1"/>
      <c r="X93" s="1"/>
    </row>
    <row r="94" spans="2:31" x14ac:dyDescent="0.2">
      <c r="B94" s="254"/>
      <c r="C94" s="254"/>
      <c r="D94" s="254"/>
      <c r="E94" s="254"/>
      <c r="F94" s="254"/>
      <c r="G94" s="254"/>
      <c r="I94" s="101"/>
      <c r="J94" s="101"/>
      <c r="K94" s="101"/>
      <c r="L94" s="101"/>
      <c r="M94" s="101"/>
      <c r="N94" s="101"/>
      <c r="O94" s="101"/>
      <c r="S94" s="2"/>
      <c r="T94" s="1"/>
      <c r="U94" s="1"/>
      <c r="V94" s="1"/>
      <c r="W94" s="1"/>
      <c r="X94" s="1"/>
    </row>
    <row r="95" spans="2:31" x14ac:dyDescent="0.2">
      <c r="B95" s="254"/>
      <c r="H95" s="101"/>
      <c r="I95" s="101"/>
      <c r="J95" s="101"/>
      <c r="K95" s="101"/>
      <c r="L95" s="101"/>
      <c r="M95" s="101"/>
      <c r="N95" s="101"/>
      <c r="O95" s="101"/>
      <c r="S95" s="2"/>
      <c r="T95" s="1"/>
      <c r="U95" s="1"/>
      <c r="V95" s="1"/>
      <c r="W95" s="1"/>
      <c r="X95" s="1"/>
    </row>
    <row r="96" spans="2:31" x14ac:dyDescent="0.2">
      <c r="B96" s="27" t="s">
        <v>14</v>
      </c>
      <c r="C96" s="282" t="s">
        <v>1</v>
      </c>
      <c r="D96" s="459" t="s">
        <v>929</v>
      </c>
      <c r="E96" s="459" t="s">
        <v>930</v>
      </c>
      <c r="F96" s="459" t="s">
        <v>931</v>
      </c>
      <c r="G96" s="460" t="s">
        <v>932</v>
      </c>
      <c r="H96" s="101"/>
      <c r="I96" s="288"/>
      <c r="J96" s="289"/>
      <c r="K96" s="455"/>
      <c r="L96" s="455"/>
      <c r="M96" s="455"/>
      <c r="N96" s="455"/>
      <c r="O96" s="101"/>
      <c r="S96" s="2"/>
      <c r="T96" s="1"/>
      <c r="U96" s="1"/>
      <c r="V96" s="1"/>
      <c r="W96" s="1"/>
      <c r="X96" s="1"/>
    </row>
    <row r="97" spans="1:24" x14ac:dyDescent="0.2">
      <c r="C97" s="209" t="s">
        <v>690</v>
      </c>
      <c r="D97" s="413">
        <v>7.2622310621461086E-2</v>
      </c>
      <c r="E97" s="413">
        <v>5.8936146699246593E-2</v>
      </c>
      <c r="F97" s="413">
        <v>5.6938249759843296E-2</v>
      </c>
      <c r="G97" s="413">
        <v>6.2694595021404773E-2</v>
      </c>
      <c r="H97" s="101"/>
      <c r="I97" s="101"/>
      <c r="O97" s="101"/>
      <c r="S97" s="2"/>
      <c r="T97" s="1"/>
      <c r="U97" s="1"/>
      <c r="V97" s="1"/>
      <c r="W97" s="1"/>
      <c r="X97" s="1"/>
    </row>
    <row r="98" spans="1:24" x14ac:dyDescent="0.2">
      <c r="C98" s="209" t="s">
        <v>692</v>
      </c>
      <c r="D98" s="413">
        <v>7.480132415430947E-2</v>
      </c>
      <c r="E98" s="413">
        <v>7.945686161146108E-2</v>
      </c>
      <c r="F98" s="413">
        <v>9.5448892457841536E-2</v>
      </c>
      <c r="G98" s="413">
        <v>9.1647802635366871E-2</v>
      </c>
      <c r="H98" s="101"/>
      <c r="I98" s="101"/>
      <c r="O98" s="101"/>
      <c r="S98" s="2"/>
      <c r="T98" s="1"/>
      <c r="U98" s="1"/>
      <c r="V98" s="1"/>
      <c r="W98" s="1"/>
      <c r="X98" s="1"/>
    </row>
    <row r="99" spans="1:24" x14ac:dyDescent="0.2">
      <c r="C99" s="209" t="s">
        <v>693</v>
      </c>
      <c r="D99" s="469">
        <v>0.11</v>
      </c>
      <c r="E99" s="413">
        <v>0.1</v>
      </c>
      <c r="F99" s="413">
        <v>0.11</v>
      </c>
      <c r="G99" s="413">
        <v>0.12</v>
      </c>
      <c r="H99" s="101"/>
      <c r="I99" s="101"/>
      <c r="O99" s="101"/>
      <c r="S99" s="2"/>
      <c r="T99" s="1"/>
      <c r="U99" s="1"/>
      <c r="V99" s="1"/>
      <c r="W99" s="1"/>
      <c r="X99" s="1"/>
    </row>
    <row r="100" spans="1:24" x14ac:dyDescent="0.2">
      <c r="C100" s="282" t="s">
        <v>296</v>
      </c>
      <c r="D100" s="459" t="s">
        <v>929</v>
      </c>
      <c r="E100" s="459" t="s">
        <v>930</v>
      </c>
      <c r="F100" s="459" t="s">
        <v>931</v>
      </c>
      <c r="G100" s="460" t="s">
        <v>932</v>
      </c>
      <c r="H100" s="101"/>
      <c r="I100" s="288"/>
      <c r="O100" s="101"/>
      <c r="S100" s="2"/>
      <c r="T100" s="1"/>
      <c r="U100" s="1"/>
      <c r="V100" s="1"/>
      <c r="W100" s="1"/>
      <c r="X100" s="1"/>
    </row>
    <row r="101" spans="1:24" x14ac:dyDescent="0.2">
      <c r="C101" s="209" t="s">
        <v>690</v>
      </c>
      <c r="D101" s="413">
        <v>8.459920090277703E-3</v>
      </c>
      <c r="E101" s="413">
        <v>1.5648926125740689E-2</v>
      </c>
      <c r="F101" s="413">
        <v>1.3333333333333293E-2</v>
      </c>
      <c r="G101" s="413">
        <v>1.999999999999999E-2</v>
      </c>
      <c r="H101" s="101"/>
      <c r="I101" s="101"/>
      <c r="O101" s="101"/>
      <c r="S101" s="2"/>
      <c r="T101" s="1"/>
      <c r="U101" s="1"/>
      <c r="V101" s="1"/>
      <c r="W101" s="1"/>
      <c r="X101" s="1"/>
    </row>
    <row r="102" spans="1:24" x14ac:dyDescent="0.2">
      <c r="C102" s="209" t="s">
        <v>692</v>
      </c>
      <c r="D102" s="413">
        <v>2.1207358772739736E-2</v>
      </c>
      <c r="E102" s="413">
        <v>2.4474645338856477E-2</v>
      </c>
      <c r="F102" s="413">
        <v>2.7039066387564349E-2</v>
      </c>
      <c r="G102" s="413">
        <v>1.6666666666666666E-2</v>
      </c>
      <c r="H102" s="101"/>
      <c r="I102" s="101"/>
      <c r="O102" s="101"/>
    </row>
    <row r="103" spans="1:24" x14ac:dyDescent="0.2">
      <c r="C103" s="209" t="s">
        <v>693</v>
      </c>
      <c r="D103" s="413">
        <v>1.5918179222262407E-2</v>
      </c>
      <c r="E103" s="413">
        <v>1.9607254893136951E-2</v>
      </c>
      <c r="F103" s="413">
        <v>0</v>
      </c>
      <c r="G103" s="413">
        <v>0</v>
      </c>
      <c r="I103" s="101"/>
      <c r="O103" s="101"/>
    </row>
    <row r="104" spans="1:24" x14ac:dyDescent="0.2">
      <c r="I104" s="101"/>
      <c r="O104" s="101"/>
    </row>
    <row r="105" spans="1:24" x14ac:dyDescent="0.2">
      <c r="I105" s="101"/>
      <c r="J105" s="101"/>
      <c r="K105" s="101"/>
      <c r="L105" s="101"/>
      <c r="M105" s="101"/>
      <c r="N105" s="101"/>
      <c r="O105" s="101"/>
    </row>
    <row r="106" spans="1:24" x14ac:dyDescent="0.2">
      <c r="I106" s="288"/>
      <c r="J106" s="289"/>
      <c r="K106" s="455"/>
      <c r="L106" s="455"/>
      <c r="M106" s="455"/>
      <c r="N106" s="455"/>
      <c r="O106" s="101"/>
    </row>
    <row r="107" spans="1:24" x14ac:dyDescent="0.2">
      <c r="I107" s="101"/>
      <c r="J107" s="288"/>
      <c r="K107" s="482"/>
      <c r="L107" s="482"/>
      <c r="M107" s="482"/>
      <c r="N107" s="482"/>
      <c r="O107" s="101"/>
    </row>
    <row r="108" spans="1:24" ht="18" x14ac:dyDescent="0.2">
      <c r="B108" s="19" t="s">
        <v>52</v>
      </c>
      <c r="C108" s="20"/>
      <c r="D108" s="20"/>
      <c r="E108" s="20"/>
      <c r="F108" s="20"/>
      <c r="I108" s="101"/>
      <c r="J108" s="288"/>
      <c r="K108" s="482"/>
      <c r="L108" s="482"/>
      <c r="M108" s="482"/>
      <c r="N108" s="483"/>
      <c r="O108" s="101"/>
    </row>
    <row r="109" spans="1:24" x14ac:dyDescent="0.2">
      <c r="I109" s="101"/>
      <c r="J109" s="288"/>
      <c r="K109" s="482"/>
      <c r="L109" s="482"/>
      <c r="M109" s="482"/>
      <c r="N109" s="482"/>
      <c r="O109" s="101"/>
    </row>
    <row r="110" spans="1:24" x14ac:dyDescent="0.2">
      <c r="A110" s="9"/>
      <c r="B110" s="9"/>
      <c r="C110" s="3" t="s">
        <v>1126</v>
      </c>
      <c r="D110" s="1" t="s">
        <v>1069</v>
      </c>
      <c r="E110" s="1"/>
      <c r="F110" s="1"/>
      <c r="G110" s="1"/>
      <c r="H110" s="1"/>
      <c r="I110" s="233"/>
      <c r="J110"/>
      <c r="K110" s="170"/>
      <c r="L110" s="170"/>
      <c r="M110" s="170"/>
      <c r="N110" s="170"/>
      <c r="O110" s="170"/>
      <c r="P110"/>
      <c r="Q110"/>
    </row>
    <row r="111" spans="1:24" x14ac:dyDescent="0.2">
      <c r="A111" s="9"/>
      <c r="B111" s="9"/>
      <c r="C111" s="2" t="s">
        <v>1070</v>
      </c>
      <c r="D111" s="46" t="s">
        <v>49</v>
      </c>
      <c r="E111" s="1"/>
      <c r="F111" s="1"/>
      <c r="G111" s="1"/>
      <c r="H111" s="1"/>
      <c r="I111" s="233"/>
      <c r="J111"/>
      <c r="K111" s="170"/>
      <c r="L111" s="170"/>
      <c r="M111" s="170"/>
      <c r="N111" s="170"/>
      <c r="O111" s="170"/>
      <c r="P111"/>
      <c r="Q111"/>
    </row>
    <row r="112" spans="1:24" x14ac:dyDescent="0.2">
      <c r="A112" s="9"/>
      <c r="B112" s="9"/>
      <c r="C112" s="2" t="s">
        <v>666</v>
      </c>
      <c r="D112" s="1">
        <v>0.05</v>
      </c>
      <c r="E112" s="1"/>
      <c r="F112" s="1"/>
      <c r="G112" s="1"/>
      <c r="H112" s="1"/>
      <c r="I112" s="233"/>
      <c r="J112"/>
      <c r="K112" s="170"/>
      <c r="L112" s="170"/>
      <c r="M112" s="170"/>
      <c r="N112" s="170"/>
      <c r="O112" s="170"/>
      <c r="P112"/>
      <c r="Q112"/>
    </row>
    <row r="113" spans="1:17" x14ac:dyDescent="0.2">
      <c r="A113" s="9"/>
      <c r="B113" s="9"/>
      <c r="C113" s="2"/>
      <c r="D113" s="1"/>
      <c r="E113" s="1"/>
      <c r="F113" s="1"/>
      <c r="G113" s="1"/>
      <c r="H113" s="1"/>
      <c r="I113" s="233"/>
      <c r="J113"/>
      <c r="K113" s="170"/>
      <c r="L113" s="170"/>
      <c r="M113" s="170"/>
      <c r="N113" s="170"/>
      <c r="O113" s="170"/>
      <c r="P113"/>
      <c r="Q113"/>
    </row>
    <row r="114" spans="1:17" x14ac:dyDescent="0.2">
      <c r="A114" s="9"/>
      <c r="B114" s="9"/>
      <c r="C114" s="2" t="s">
        <v>575</v>
      </c>
      <c r="D114" s="1" t="s">
        <v>36</v>
      </c>
      <c r="E114" s="1" t="s">
        <v>37</v>
      </c>
      <c r="F114" s="1" t="s">
        <v>576</v>
      </c>
      <c r="G114" s="1" t="s">
        <v>577</v>
      </c>
      <c r="H114" s="1" t="s">
        <v>38</v>
      </c>
      <c r="I114" s="233"/>
      <c r="J114"/>
      <c r="K114" s="170"/>
      <c r="L114" s="170"/>
      <c r="M114" s="170"/>
      <c r="N114" s="170"/>
      <c r="O114" s="170"/>
      <c r="P114"/>
      <c r="Q114"/>
    </row>
    <row r="115" spans="1:17" x14ac:dyDescent="0.2">
      <c r="A115" s="9"/>
      <c r="B115" s="9"/>
      <c r="C115" s="2" t="s">
        <v>39</v>
      </c>
      <c r="D115" s="1">
        <v>0.72089999999999999</v>
      </c>
      <c r="E115" s="1" t="s">
        <v>9</v>
      </c>
      <c r="F115" s="1" t="s">
        <v>49</v>
      </c>
      <c r="G115" s="1" t="s">
        <v>1155</v>
      </c>
      <c r="H115" s="1">
        <v>0.44550000000000001</v>
      </c>
      <c r="I115" s="233"/>
      <c r="J115"/>
      <c r="K115" s="170"/>
      <c r="L115" s="170"/>
      <c r="M115" s="170"/>
      <c r="N115" s="170"/>
      <c r="O115" s="170"/>
      <c r="P115"/>
      <c r="Q115"/>
    </row>
    <row r="116" spans="1:17" x14ac:dyDescent="0.2">
      <c r="A116" s="9"/>
      <c r="B116" s="9"/>
      <c r="C116" s="2" t="s">
        <v>42</v>
      </c>
      <c r="D116" s="46" t="s">
        <v>176</v>
      </c>
      <c r="E116" s="1" t="s">
        <v>10</v>
      </c>
      <c r="F116" s="1" t="s">
        <v>41</v>
      </c>
      <c r="G116" s="1" t="s">
        <v>1156</v>
      </c>
      <c r="H116" s="1"/>
      <c r="I116" s="233"/>
      <c r="J116"/>
      <c r="K116" s="170"/>
      <c r="L116" s="170"/>
      <c r="M116" s="170"/>
      <c r="N116" s="170"/>
      <c r="O116" s="170"/>
      <c r="P116"/>
      <c r="Q116"/>
    </row>
    <row r="117" spans="1:17" x14ac:dyDescent="0.2">
      <c r="A117" s="9"/>
      <c r="B117" s="9"/>
      <c r="C117" s="2" t="s">
        <v>43</v>
      </c>
      <c r="D117" s="1">
        <v>0.20960000000000001</v>
      </c>
      <c r="E117" s="1" t="s">
        <v>9</v>
      </c>
      <c r="F117" s="1" t="s">
        <v>49</v>
      </c>
      <c r="G117" s="1" t="s">
        <v>1157</v>
      </c>
      <c r="H117" s="1"/>
      <c r="I117" s="233"/>
      <c r="J117"/>
      <c r="K117" s="170"/>
      <c r="L117" s="170"/>
      <c r="M117" s="170"/>
      <c r="N117" s="170"/>
      <c r="O117" s="170"/>
      <c r="P117"/>
      <c r="Q117"/>
    </row>
    <row r="118" spans="1:17" x14ac:dyDescent="0.2">
      <c r="A118" s="9"/>
      <c r="B118" s="9"/>
      <c r="C118" s="2"/>
      <c r="D118" s="1"/>
      <c r="E118" s="1"/>
      <c r="F118" s="1"/>
      <c r="G118" s="1"/>
      <c r="H118" s="1"/>
      <c r="I118" s="233"/>
      <c r="J118"/>
      <c r="K118" s="170"/>
      <c r="L118" s="170"/>
      <c r="M118" s="170"/>
      <c r="N118" s="170"/>
      <c r="O118" s="170"/>
      <c r="P118"/>
      <c r="Q118"/>
    </row>
    <row r="119" spans="1:17" x14ac:dyDescent="0.2">
      <c r="A119" s="9"/>
      <c r="B119" s="217"/>
      <c r="C119" s="2" t="s">
        <v>1127</v>
      </c>
      <c r="D119" s="1" t="s">
        <v>1128</v>
      </c>
      <c r="E119" s="1" t="s">
        <v>1129</v>
      </c>
      <c r="F119" s="1"/>
      <c r="G119" s="1"/>
      <c r="H119" s="1"/>
      <c r="I119" s="233"/>
      <c r="J119"/>
      <c r="K119" s="170"/>
      <c r="L119" s="170"/>
      <c r="M119" s="170"/>
      <c r="N119" s="170"/>
      <c r="O119" s="170"/>
      <c r="P119"/>
      <c r="Q119"/>
    </row>
    <row r="120" spans="1:17" x14ac:dyDescent="0.2">
      <c r="A120" s="9"/>
      <c r="B120" s="254"/>
      <c r="C120" s="2" t="s">
        <v>71</v>
      </c>
      <c r="D120" s="1">
        <v>0.1229</v>
      </c>
      <c r="E120" s="1">
        <v>1.511E-2</v>
      </c>
      <c r="F120" s="1"/>
      <c r="G120" s="1"/>
      <c r="H120" s="1"/>
      <c r="I120" s="233"/>
      <c r="J120"/>
      <c r="K120" s="170"/>
      <c r="L120" s="170"/>
      <c r="M120" s="170"/>
      <c r="N120" s="170"/>
      <c r="O120" s="170"/>
      <c r="P120"/>
      <c r="Q120"/>
    </row>
    <row r="121" spans="1:17" x14ac:dyDescent="0.2">
      <c r="A121" s="9"/>
      <c r="B121" s="254"/>
      <c r="C121" s="2" t="s">
        <v>674</v>
      </c>
      <c r="D121" s="1">
        <v>0.1239</v>
      </c>
      <c r="E121" s="1">
        <v>1.5339999999999999E-2</v>
      </c>
      <c r="F121" s="1"/>
      <c r="G121" s="1"/>
      <c r="H121" s="1"/>
      <c r="I121" s="233"/>
      <c r="J121"/>
      <c r="K121" s="170"/>
      <c r="L121" s="170"/>
      <c r="M121" s="170"/>
      <c r="N121" s="170"/>
      <c r="O121" s="170"/>
      <c r="P121"/>
      <c r="Q121"/>
    </row>
    <row r="122" spans="1:17" x14ac:dyDescent="0.2">
      <c r="A122" s="9"/>
      <c r="B122" s="254"/>
      <c r="C122" s="2"/>
      <c r="D122" s="1"/>
      <c r="E122" s="1"/>
      <c r="F122" s="1"/>
      <c r="G122" s="1"/>
      <c r="H122" s="1"/>
      <c r="I122" s="233"/>
      <c r="J122"/>
      <c r="K122" s="170"/>
      <c r="L122" s="170"/>
      <c r="M122" s="170"/>
      <c r="N122" s="170"/>
      <c r="O122" s="170"/>
      <c r="P122"/>
      <c r="Q122"/>
    </row>
    <row r="123" spans="1:17" x14ac:dyDescent="0.2">
      <c r="A123" s="9"/>
      <c r="B123" s="254"/>
      <c r="C123" s="2" t="s">
        <v>1130</v>
      </c>
      <c r="D123" s="1"/>
      <c r="E123" s="1"/>
      <c r="F123" s="1"/>
      <c r="G123" s="1"/>
      <c r="H123" s="1"/>
      <c r="I123" s="233"/>
      <c r="J123"/>
      <c r="K123" s="170"/>
      <c r="L123" s="170"/>
      <c r="M123" s="170"/>
      <c r="N123" s="170"/>
      <c r="O123" s="170"/>
      <c r="P123"/>
      <c r="Q123"/>
    </row>
    <row r="124" spans="1:17" x14ac:dyDescent="0.2">
      <c r="A124" s="9"/>
      <c r="B124" s="254"/>
      <c r="C124" s="2" t="s">
        <v>1131</v>
      </c>
      <c r="D124" s="46" t="s">
        <v>1158</v>
      </c>
      <c r="E124" s="1"/>
      <c r="F124" s="1"/>
      <c r="G124" s="1"/>
      <c r="H124" s="1"/>
      <c r="I124" s="233"/>
      <c r="J124"/>
      <c r="K124" s="170"/>
      <c r="L124" s="170"/>
      <c r="M124" s="170"/>
      <c r="N124" s="170"/>
      <c r="O124" s="170"/>
      <c r="P124"/>
      <c r="Q124"/>
    </row>
    <row r="125" spans="1:17" x14ac:dyDescent="0.2">
      <c r="A125" s="9"/>
      <c r="B125" s="254"/>
      <c r="C125" s="2" t="s">
        <v>36</v>
      </c>
      <c r="D125" s="46" t="s">
        <v>176</v>
      </c>
      <c r="E125" s="1"/>
      <c r="F125" s="1"/>
      <c r="G125" s="1"/>
      <c r="H125" s="1"/>
      <c r="I125" s="233"/>
      <c r="J125"/>
      <c r="K125" s="170"/>
      <c r="L125" s="170"/>
      <c r="M125" s="170"/>
      <c r="N125" s="170"/>
      <c r="O125" s="170"/>
      <c r="P125"/>
      <c r="Q125"/>
    </row>
    <row r="126" spans="1:17" x14ac:dyDescent="0.2">
      <c r="A126" s="9"/>
      <c r="B126" s="254"/>
      <c r="C126" s="2" t="s">
        <v>37</v>
      </c>
      <c r="D126" s="46" t="s">
        <v>10</v>
      </c>
      <c r="E126" s="1"/>
      <c r="F126" s="1"/>
      <c r="G126" s="1"/>
      <c r="H126" s="1"/>
      <c r="I126" s="233"/>
      <c r="J126"/>
      <c r="K126" s="170"/>
      <c r="L126" s="170"/>
      <c r="M126" s="170"/>
      <c r="N126" s="170"/>
      <c r="O126" s="170"/>
      <c r="P126"/>
      <c r="Q126"/>
    </row>
    <row r="127" spans="1:17" x14ac:dyDescent="0.2">
      <c r="A127" s="9"/>
      <c r="B127" s="254"/>
      <c r="C127" s="2" t="s">
        <v>1132</v>
      </c>
      <c r="D127" s="46" t="s">
        <v>41</v>
      </c>
      <c r="E127" s="1"/>
      <c r="F127" s="1"/>
      <c r="G127" s="1"/>
      <c r="H127" s="1"/>
      <c r="I127" s="233"/>
      <c r="J127"/>
      <c r="K127" s="170"/>
      <c r="L127" s="170"/>
      <c r="M127" s="170"/>
      <c r="N127" s="170"/>
      <c r="O127" s="170"/>
      <c r="P127"/>
      <c r="Q127"/>
    </row>
    <row r="128" spans="1:17" x14ac:dyDescent="0.2">
      <c r="A128" s="9"/>
      <c r="B128" s="254"/>
      <c r="C128" s="2"/>
      <c r="D128" s="1"/>
      <c r="E128" s="1"/>
      <c r="F128" s="1"/>
      <c r="G128" s="1"/>
      <c r="H128" s="1"/>
      <c r="I128" s="233"/>
      <c r="J128"/>
      <c r="K128" s="170"/>
      <c r="L128" s="170"/>
      <c r="M128" s="170"/>
      <c r="N128" s="170"/>
      <c r="O128" s="170"/>
      <c r="P128"/>
      <c r="Q128"/>
    </row>
    <row r="129" spans="1:17" x14ac:dyDescent="0.2">
      <c r="A129" s="9"/>
      <c r="B129" s="254"/>
      <c r="C129" s="2" t="s">
        <v>1077</v>
      </c>
      <c r="D129" s="1"/>
      <c r="E129" s="1"/>
      <c r="F129" s="1"/>
      <c r="G129" s="1"/>
      <c r="H129" s="1"/>
      <c r="I129" s="233"/>
      <c r="J129"/>
      <c r="K129" s="170"/>
      <c r="L129" s="170"/>
      <c r="M129" s="170"/>
      <c r="N129" s="170"/>
      <c r="O129" s="170"/>
      <c r="P129"/>
      <c r="Q129"/>
    </row>
    <row r="130" spans="1:17" x14ac:dyDescent="0.2">
      <c r="A130" s="9"/>
      <c r="B130" s="9"/>
      <c r="C130" s="2" t="s">
        <v>1078</v>
      </c>
      <c r="D130" s="1">
        <v>6</v>
      </c>
      <c r="E130" s="1"/>
      <c r="F130" s="1"/>
      <c r="G130" s="1"/>
      <c r="H130" s="1"/>
      <c r="I130" s="233"/>
      <c r="J130"/>
      <c r="K130" s="170"/>
      <c r="L130" s="170"/>
      <c r="M130" s="170"/>
      <c r="N130" s="170"/>
      <c r="O130" s="170"/>
      <c r="P130"/>
      <c r="Q130"/>
    </row>
    <row r="131" spans="1:17" x14ac:dyDescent="0.2">
      <c r="A131" s="9"/>
      <c r="B131" s="254"/>
      <c r="C131" s="2" t="s">
        <v>1079</v>
      </c>
      <c r="D131" s="1">
        <v>4</v>
      </c>
      <c r="E131" s="1"/>
      <c r="F131" s="1"/>
      <c r="G131" s="1"/>
      <c r="H131" s="1"/>
      <c r="I131" s="233"/>
      <c r="J131"/>
      <c r="K131" s="170"/>
      <c r="L131" s="170"/>
      <c r="M131" s="170"/>
      <c r="N131" s="170"/>
      <c r="O131" s="170"/>
      <c r="P131"/>
      <c r="Q131"/>
    </row>
    <row r="132" spans="1:17" x14ac:dyDescent="0.2">
      <c r="A132" s="9"/>
      <c r="B132" s="254"/>
      <c r="C132" s="2" t="s">
        <v>1080</v>
      </c>
      <c r="D132" s="1">
        <v>57</v>
      </c>
      <c r="E132" s="1"/>
      <c r="F132" s="1"/>
      <c r="G132" s="1"/>
      <c r="H132" s="1"/>
      <c r="I132" s="233"/>
      <c r="J132"/>
      <c r="K132" s="170"/>
      <c r="L132" s="170"/>
      <c r="M132" s="170"/>
      <c r="N132" s="170"/>
      <c r="O132" s="170"/>
      <c r="P132"/>
      <c r="Q132"/>
    </row>
    <row r="133" spans="1:17" x14ac:dyDescent="0.2">
      <c r="A133" s="9"/>
      <c r="B133" s="254"/>
      <c r="C133" s="2" t="s">
        <v>1081</v>
      </c>
      <c r="D133" s="1">
        <v>56</v>
      </c>
      <c r="E133" s="1"/>
      <c r="F133" s="1"/>
      <c r="G133" s="1"/>
      <c r="H133" s="1"/>
      <c r="I133" s="233"/>
      <c r="J133"/>
      <c r="K133" s="170"/>
      <c r="L133" s="170"/>
      <c r="M133" s="170"/>
      <c r="N133" s="170"/>
      <c r="O133" s="170"/>
      <c r="P133"/>
      <c r="Q133"/>
    </row>
    <row r="134" spans="1:17" x14ac:dyDescent="0.2">
      <c r="A134" s="9"/>
      <c r="B134" s="254"/>
      <c r="C134" s="9"/>
      <c r="D134" s="9"/>
      <c r="E134" s="9"/>
      <c r="F134" s="9"/>
      <c r="G134" s="9"/>
      <c r="H134" s="9"/>
      <c r="I134" s="9"/>
    </row>
    <row r="135" spans="1:17" x14ac:dyDescent="0.2">
      <c r="A135" s="9"/>
      <c r="B135" s="254"/>
      <c r="C135" s="9"/>
      <c r="D135" s="9"/>
      <c r="E135" s="9"/>
      <c r="F135" s="9"/>
      <c r="G135" s="9"/>
      <c r="H135" s="9"/>
      <c r="I135" s="9"/>
    </row>
    <row r="136" spans="1:17" x14ac:dyDescent="0.2">
      <c r="A136" s="9"/>
      <c r="B136" s="254"/>
      <c r="C136" s="2" t="s">
        <v>1082</v>
      </c>
      <c r="D136" s="1"/>
      <c r="E136" s="1"/>
      <c r="F136" s="1"/>
      <c r="G136" s="1"/>
      <c r="H136" s="1"/>
      <c r="I136" s="1"/>
    </row>
    <row r="137" spans="1:17" x14ac:dyDescent="0.2">
      <c r="A137" s="9"/>
      <c r="B137" s="254"/>
      <c r="C137" s="2"/>
      <c r="D137" s="1"/>
      <c r="E137" s="1"/>
      <c r="F137" s="1"/>
      <c r="G137" s="1"/>
      <c r="H137" s="1"/>
      <c r="I137" s="1"/>
    </row>
    <row r="138" spans="1:17" x14ac:dyDescent="0.2">
      <c r="A138" s="9"/>
      <c r="B138" s="254"/>
      <c r="C138" s="2" t="s">
        <v>1083</v>
      </c>
      <c r="D138" s="1">
        <v>4</v>
      </c>
      <c r="E138" s="1"/>
      <c r="F138" s="1"/>
      <c r="G138" s="1"/>
      <c r="H138" s="1"/>
      <c r="I138" s="1"/>
    </row>
    <row r="139" spans="1:17" x14ac:dyDescent="0.2">
      <c r="A139" s="9"/>
      <c r="B139" s="254"/>
      <c r="C139" s="2" t="s">
        <v>1084</v>
      </c>
      <c r="D139" s="1">
        <v>5</v>
      </c>
      <c r="E139" s="1"/>
      <c r="F139" s="1"/>
      <c r="G139" s="1"/>
      <c r="H139" s="1"/>
      <c r="I139" s="1"/>
    </row>
    <row r="140" spans="1:17" x14ac:dyDescent="0.2">
      <c r="A140" s="9"/>
      <c r="B140" s="9"/>
      <c r="C140" s="2" t="s">
        <v>666</v>
      </c>
      <c r="D140" s="1">
        <v>0.05</v>
      </c>
      <c r="E140" s="1"/>
      <c r="F140" s="1"/>
      <c r="G140" s="1"/>
      <c r="H140" s="1"/>
      <c r="I140" s="1"/>
    </row>
    <row r="141" spans="1:17" x14ac:dyDescent="0.2">
      <c r="A141" s="9"/>
      <c r="B141" s="9"/>
      <c r="C141" s="2"/>
      <c r="D141" s="1"/>
      <c r="E141" s="1"/>
      <c r="F141" s="1"/>
      <c r="G141" s="1"/>
      <c r="H141" s="1"/>
      <c r="I141" s="1"/>
    </row>
    <row r="142" spans="1:17" x14ac:dyDescent="0.2">
      <c r="A142" s="9"/>
      <c r="B142" s="9"/>
      <c r="C142" s="3" t="s">
        <v>44</v>
      </c>
      <c r="D142" s="16" t="s">
        <v>45</v>
      </c>
      <c r="E142" s="16" t="s">
        <v>46</v>
      </c>
      <c r="F142" s="16" t="s">
        <v>1159</v>
      </c>
      <c r="G142" s="16" t="s">
        <v>48</v>
      </c>
      <c r="H142" s="16" t="s">
        <v>5</v>
      </c>
      <c r="I142" s="1"/>
    </row>
    <row r="143" spans="1:17" x14ac:dyDescent="0.2">
      <c r="A143" s="9"/>
      <c r="B143" s="9"/>
      <c r="C143" s="2"/>
      <c r="D143" s="1"/>
      <c r="E143" s="1"/>
      <c r="F143" s="1"/>
      <c r="G143" s="1"/>
      <c r="H143" s="1"/>
      <c r="I143" s="1"/>
    </row>
    <row r="144" spans="1:17" x14ac:dyDescent="0.2">
      <c r="A144" s="9"/>
      <c r="B144" s="9"/>
      <c r="C144" s="2" t="s">
        <v>929</v>
      </c>
      <c r="D144" s="1"/>
      <c r="E144" s="1"/>
      <c r="F144" s="1"/>
      <c r="G144" s="1"/>
      <c r="H144" s="1"/>
      <c r="I144" s="1"/>
    </row>
    <row r="145" spans="1:9" x14ac:dyDescent="0.2">
      <c r="A145" s="9"/>
      <c r="B145" s="9"/>
      <c r="C145" s="2" t="s">
        <v>1133</v>
      </c>
      <c r="D145" s="1">
        <v>-0.21199999999999999</v>
      </c>
      <c r="E145" s="1" t="s">
        <v>1134</v>
      </c>
      <c r="F145" s="1" t="s">
        <v>49</v>
      </c>
      <c r="G145" s="1" t="s">
        <v>9</v>
      </c>
      <c r="H145" s="1">
        <v>0.19739999999999999</v>
      </c>
      <c r="I145" s="1"/>
    </row>
    <row r="146" spans="1:9" x14ac:dyDescent="0.2">
      <c r="A146" s="9"/>
      <c r="B146" s="9"/>
      <c r="C146" s="2" t="s">
        <v>1135</v>
      </c>
      <c r="D146" s="1">
        <v>-0.3508</v>
      </c>
      <c r="E146" s="1" t="s">
        <v>1136</v>
      </c>
      <c r="F146" s="1" t="s">
        <v>49</v>
      </c>
      <c r="G146" s="1" t="s">
        <v>9</v>
      </c>
      <c r="H146" s="1">
        <v>6.2199999999999998E-2</v>
      </c>
      <c r="I146" s="1"/>
    </row>
    <row r="147" spans="1:9" x14ac:dyDescent="0.2">
      <c r="A147" s="9"/>
      <c r="B147" s="9"/>
      <c r="C147" s="2" t="s">
        <v>1137</v>
      </c>
      <c r="D147" s="1">
        <v>0.27350000000000002</v>
      </c>
      <c r="E147" s="1" t="s">
        <v>1138</v>
      </c>
      <c r="F147" s="1" t="s">
        <v>49</v>
      </c>
      <c r="G147" s="1" t="s">
        <v>9</v>
      </c>
      <c r="H147" s="1">
        <v>5.2200000000000003E-2</v>
      </c>
      <c r="I147" s="1"/>
    </row>
    <row r="148" spans="1:9" x14ac:dyDescent="0.2">
      <c r="A148" s="9"/>
      <c r="B148" s="9"/>
      <c r="C148" s="2" t="s">
        <v>1139</v>
      </c>
      <c r="D148" s="1">
        <v>0.30349999999999999</v>
      </c>
      <c r="E148" s="1" t="s">
        <v>1140</v>
      </c>
      <c r="F148" s="1" t="s">
        <v>41</v>
      </c>
      <c r="G148" s="1" t="s">
        <v>12</v>
      </c>
      <c r="H148" s="1">
        <v>3.3099999999999997E-2</v>
      </c>
      <c r="I148" s="1"/>
    </row>
    <row r="149" spans="1:9" x14ac:dyDescent="0.2">
      <c r="A149" s="9"/>
      <c r="B149" s="9"/>
      <c r="C149" s="2" t="s">
        <v>1141</v>
      </c>
      <c r="D149" s="1">
        <v>0.50349999999999995</v>
      </c>
      <c r="E149" s="1" t="s">
        <v>1142</v>
      </c>
      <c r="F149" s="1" t="s">
        <v>41</v>
      </c>
      <c r="G149" s="1" t="s">
        <v>11</v>
      </c>
      <c r="H149" s="1">
        <v>5.1000000000000004E-3</v>
      </c>
      <c r="I149" s="1"/>
    </row>
    <row r="150" spans="1:9" x14ac:dyDescent="0.2">
      <c r="A150" s="9"/>
      <c r="B150" s="9"/>
      <c r="C150" s="2"/>
      <c r="D150" s="1"/>
      <c r="E150" s="1"/>
      <c r="F150" s="1"/>
      <c r="G150" s="1"/>
      <c r="H150" s="1"/>
      <c r="I150" s="1"/>
    </row>
    <row r="151" spans="1:9" x14ac:dyDescent="0.2">
      <c r="A151" s="9"/>
      <c r="B151" s="9"/>
      <c r="C151" s="2" t="s">
        <v>930</v>
      </c>
      <c r="D151" s="1"/>
      <c r="E151" s="1"/>
      <c r="F151" s="1"/>
      <c r="G151" s="1"/>
      <c r="H151" s="1"/>
      <c r="I151" s="1"/>
    </row>
    <row r="152" spans="1:9" x14ac:dyDescent="0.2">
      <c r="A152" s="9"/>
      <c r="B152" s="9"/>
      <c r="C152" s="2" t="s">
        <v>1133</v>
      </c>
      <c r="D152" s="1">
        <v>-0.16389999999999999</v>
      </c>
      <c r="E152" s="1" t="s">
        <v>1143</v>
      </c>
      <c r="F152" s="1" t="s">
        <v>49</v>
      </c>
      <c r="G152" s="1" t="s">
        <v>9</v>
      </c>
      <c r="H152" s="1">
        <v>0.35870000000000002</v>
      </c>
      <c r="I152" s="1"/>
    </row>
    <row r="153" spans="1:9" x14ac:dyDescent="0.2">
      <c r="A153" s="9"/>
      <c r="B153" s="9"/>
      <c r="C153" s="2" t="s">
        <v>1135</v>
      </c>
      <c r="D153" s="1">
        <v>-0.36520000000000002</v>
      </c>
      <c r="E153" s="1" t="s">
        <v>1144</v>
      </c>
      <c r="F153" s="1" t="s">
        <v>41</v>
      </c>
      <c r="G153" s="1" t="s">
        <v>12</v>
      </c>
      <c r="H153" s="1">
        <v>4.1200000000000001E-2</v>
      </c>
      <c r="I153" s="1"/>
    </row>
    <row r="154" spans="1:9" x14ac:dyDescent="0.2">
      <c r="A154" s="9"/>
      <c r="B154" s="9"/>
      <c r="C154" s="2" t="s">
        <v>1137</v>
      </c>
      <c r="D154" s="1">
        <v>0.3226</v>
      </c>
      <c r="E154" s="1" t="s">
        <v>1145</v>
      </c>
      <c r="F154" s="1" t="s">
        <v>41</v>
      </c>
      <c r="G154" s="1" t="s">
        <v>11</v>
      </c>
      <c r="H154" s="1">
        <v>4.4000000000000003E-3</v>
      </c>
      <c r="I154" s="1"/>
    </row>
    <row r="155" spans="1:9" x14ac:dyDescent="0.2">
      <c r="A155" s="9"/>
      <c r="B155" s="9"/>
      <c r="C155" s="2" t="s">
        <v>1139</v>
      </c>
      <c r="D155" s="1">
        <v>0.34770000000000001</v>
      </c>
      <c r="E155" s="1" t="s">
        <v>1146</v>
      </c>
      <c r="F155" s="1" t="s">
        <v>41</v>
      </c>
      <c r="G155" s="1" t="s">
        <v>11</v>
      </c>
      <c r="H155" s="1">
        <v>2.2000000000000001E-3</v>
      </c>
      <c r="I155" s="1"/>
    </row>
    <row r="156" spans="1:9" x14ac:dyDescent="0.2">
      <c r="A156" s="9"/>
      <c r="B156" s="9"/>
      <c r="C156" s="2" t="s">
        <v>1141</v>
      </c>
      <c r="D156" s="1">
        <v>0.52190000000000003</v>
      </c>
      <c r="E156" s="1" t="s">
        <v>1147</v>
      </c>
      <c r="F156" s="1" t="s">
        <v>41</v>
      </c>
      <c r="G156" s="1" t="s">
        <v>10</v>
      </c>
      <c r="H156" s="1">
        <v>2.0000000000000001E-4</v>
      </c>
      <c r="I156" s="1"/>
    </row>
    <row r="157" spans="1:9" x14ac:dyDescent="0.2">
      <c r="A157" s="9"/>
      <c r="B157" s="9"/>
      <c r="C157" s="2"/>
      <c r="D157" s="1"/>
      <c r="E157" s="1"/>
      <c r="F157" s="1"/>
      <c r="G157" s="1"/>
      <c r="H157" s="1"/>
      <c r="I157" s="1"/>
    </row>
    <row r="158" spans="1:9" x14ac:dyDescent="0.2">
      <c r="A158" s="9"/>
      <c r="B158" s="9"/>
      <c r="C158" s="2" t="s">
        <v>931</v>
      </c>
      <c r="D158" s="1"/>
      <c r="E158" s="1"/>
      <c r="F158" s="1"/>
      <c r="G158" s="1"/>
      <c r="H158" s="1"/>
      <c r="I158" s="1"/>
    </row>
    <row r="159" spans="1:9" x14ac:dyDescent="0.2">
      <c r="A159" s="9"/>
      <c r="B159" s="9"/>
      <c r="C159" s="2" t="s">
        <v>1133</v>
      </c>
      <c r="D159" s="1">
        <v>-0.2288</v>
      </c>
      <c r="E159" s="1" t="s">
        <v>1148</v>
      </c>
      <c r="F159" s="1" t="s">
        <v>49</v>
      </c>
      <c r="G159" s="1" t="s">
        <v>9</v>
      </c>
      <c r="H159" s="1">
        <v>0.2195</v>
      </c>
      <c r="I159" s="1"/>
    </row>
    <row r="160" spans="1:9" x14ac:dyDescent="0.2">
      <c r="A160" s="9"/>
      <c r="B160" s="9"/>
      <c r="C160" s="2" t="s">
        <v>1135</v>
      </c>
      <c r="D160" s="1">
        <v>-0.46879999999999999</v>
      </c>
      <c r="E160" s="1" t="s">
        <v>1149</v>
      </c>
      <c r="F160" s="1" t="s">
        <v>41</v>
      </c>
      <c r="G160" s="1" t="s">
        <v>12</v>
      </c>
      <c r="H160" s="1">
        <v>1.15E-2</v>
      </c>
      <c r="I160" s="1"/>
    </row>
    <row r="161" spans="1:9" x14ac:dyDescent="0.2">
      <c r="A161" s="9"/>
      <c r="B161" s="9"/>
      <c r="C161" s="2" t="s">
        <v>1137</v>
      </c>
      <c r="D161" s="1">
        <v>0.31530000000000002</v>
      </c>
      <c r="E161" s="1" t="s">
        <v>1150</v>
      </c>
      <c r="F161" s="1" t="s">
        <v>41</v>
      </c>
      <c r="G161" s="1" t="s">
        <v>11</v>
      </c>
      <c r="H161" s="1">
        <v>2.8999999999999998E-3</v>
      </c>
      <c r="I161" s="1"/>
    </row>
    <row r="162" spans="1:9" x14ac:dyDescent="0.2">
      <c r="A162" s="9"/>
      <c r="B162" s="9"/>
      <c r="C162" s="2" t="s">
        <v>1139</v>
      </c>
      <c r="D162" s="1">
        <v>0.32079999999999997</v>
      </c>
      <c r="E162" s="1" t="s">
        <v>1151</v>
      </c>
      <c r="F162" s="1" t="s">
        <v>41</v>
      </c>
      <c r="G162" s="1" t="s">
        <v>11</v>
      </c>
      <c r="H162" s="1">
        <v>2.0999999999999999E-3</v>
      </c>
      <c r="I162" s="1"/>
    </row>
    <row r="163" spans="1:9" x14ac:dyDescent="0.2">
      <c r="A163" s="9"/>
      <c r="B163" s="9"/>
      <c r="C163" s="2" t="s">
        <v>1141</v>
      </c>
      <c r="D163" s="1">
        <v>0.5675</v>
      </c>
      <c r="E163" s="1" t="s">
        <v>1152</v>
      </c>
      <c r="F163" s="1" t="s">
        <v>41</v>
      </c>
      <c r="G163" s="1" t="s">
        <v>10</v>
      </c>
      <c r="H163" s="1">
        <v>1E-4</v>
      </c>
      <c r="I163" s="1"/>
    </row>
    <row r="164" spans="1:9" x14ac:dyDescent="0.2">
      <c r="A164" s="9"/>
      <c r="B164" s="9"/>
      <c r="C164" s="2"/>
      <c r="D164" s="1"/>
      <c r="E164" s="1"/>
      <c r="F164" s="1"/>
      <c r="G164" s="1"/>
      <c r="H164" s="1"/>
      <c r="I164" s="1"/>
    </row>
    <row r="165" spans="1:9" x14ac:dyDescent="0.2">
      <c r="A165" s="9"/>
      <c r="B165" s="9"/>
      <c r="C165" s="2" t="s">
        <v>1153</v>
      </c>
      <c r="D165" s="1"/>
      <c r="E165" s="1"/>
      <c r="F165" s="1"/>
      <c r="G165" s="1"/>
      <c r="H165" s="1"/>
      <c r="I165" s="1"/>
    </row>
    <row r="166" spans="1:9" x14ac:dyDescent="0.2">
      <c r="A166" s="9"/>
      <c r="B166" s="9"/>
      <c r="C166" s="2" t="s">
        <v>1133</v>
      </c>
      <c r="D166" s="1">
        <v>-0.30430000000000001</v>
      </c>
      <c r="E166" s="1" t="s">
        <v>1160</v>
      </c>
      <c r="F166" s="1" t="s">
        <v>49</v>
      </c>
      <c r="G166" s="1" t="s">
        <v>9</v>
      </c>
      <c r="H166" s="1">
        <v>7.9299999999999995E-2</v>
      </c>
      <c r="I166" s="1"/>
    </row>
    <row r="167" spans="1:9" x14ac:dyDescent="0.2">
      <c r="A167" s="9"/>
      <c r="B167" s="9"/>
      <c r="C167" s="2" t="s">
        <v>1135</v>
      </c>
      <c r="D167" s="1">
        <v>-0.54290000000000005</v>
      </c>
      <c r="E167" s="1" t="s">
        <v>1161</v>
      </c>
      <c r="F167" s="1" t="s">
        <v>41</v>
      </c>
      <c r="G167" s="1" t="s">
        <v>12</v>
      </c>
      <c r="H167" s="1">
        <v>1.12E-2</v>
      </c>
      <c r="I167" s="1"/>
    </row>
    <row r="168" spans="1:9" x14ac:dyDescent="0.2">
      <c r="A168" s="9"/>
      <c r="B168" s="9"/>
      <c r="C168" s="2" t="s">
        <v>1137</v>
      </c>
      <c r="D168" s="1">
        <v>0.3614</v>
      </c>
      <c r="E168" s="1" t="s">
        <v>1162</v>
      </c>
      <c r="F168" s="1" t="s">
        <v>41</v>
      </c>
      <c r="G168" s="1" t="s">
        <v>11</v>
      </c>
      <c r="H168" s="1">
        <v>4.0000000000000001E-3</v>
      </c>
      <c r="I168" s="1"/>
    </row>
    <row r="169" spans="1:9" x14ac:dyDescent="0.2">
      <c r="A169" s="9"/>
      <c r="B169" s="9"/>
      <c r="C169" s="2" t="s">
        <v>1139</v>
      </c>
      <c r="D169" s="1">
        <v>0.30809999999999998</v>
      </c>
      <c r="E169" s="1" t="s">
        <v>1163</v>
      </c>
      <c r="F169" s="1" t="s">
        <v>41</v>
      </c>
      <c r="G169" s="1" t="s">
        <v>11</v>
      </c>
      <c r="H169" s="1">
        <v>9.1999999999999998E-3</v>
      </c>
      <c r="I169" s="1"/>
    </row>
    <row r="170" spans="1:9" x14ac:dyDescent="0.2">
      <c r="A170" s="9"/>
      <c r="B170" s="9"/>
      <c r="C170" s="2" t="s">
        <v>1141</v>
      </c>
      <c r="D170" s="1">
        <v>0.64139999999999997</v>
      </c>
      <c r="E170" s="1" t="s">
        <v>1164</v>
      </c>
      <c r="F170" s="1" t="s">
        <v>41</v>
      </c>
      <c r="G170" s="1" t="s">
        <v>10</v>
      </c>
      <c r="H170" s="1">
        <v>2.0000000000000001E-4</v>
      </c>
      <c r="I170" s="1"/>
    </row>
    <row r="171" spans="1:9" x14ac:dyDescent="0.2">
      <c r="A171" s="9"/>
      <c r="B171" s="9"/>
      <c r="C171" s="2"/>
      <c r="D171" s="1"/>
      <c r="E171" s="1"/>
      <c r="F171" s="1"/>
      <c r="G171" s="1"/>
      <c r="H171" s="1"/>
      <c r="I171" s="1"/>
    </row>
    <row r="172" spans="1:9" x14ac:dyDescent="0.2">
      <c r="A172" s="9"/>
      <c r="B172" s="9"/>
      <c r="C172" s="2"/>
      <c r="D172" s="1"/>
      <c r="E172" s="1"/>
      <c r="F172" s="1"/>
      <c r="G172" s="1"/>
      <c r="H172" s="1"/>
      <c r="I172" s="1"/>
    </row>
    <row r="173" spans="1:9" x14ac:dyDescent="0.2">
      <c r="A173" s="9"/>
      <c r="B173" s="9"/>
      <c r="C173" s="2"/>
      <c r="D173" s="1"/>
      <c r="E173" s="1"/>
      <c r="F173" s="1"/>
      <c r="G173" s="1"/>
      <c r="H173" s="1"/>
      <c r="I173" s="1"/>
    </row>
    <row r="174" spans="1:9" x14ac:dyDescent="0.2">
      <c r="A174" s="9"/>
      <c r="B174" s="9"/>
      <c r="C174" s="2"/>
      <c r="D174" s="1"/>
      <c r="E174" s="1"/>
      <c r="F174" s="1"/>
      <c r="G174" s="1"/>
      <c r="H174" s="1"/>
      <c r="I174" s="1"/>
    </row>
    <row r="175" spans="1:9" x14ac:dyDescent="0.2">
      <c r="A175" s="9"/>
      <c r="B175" s="9"/>
      <c r="C175" s="2"/>
      <c r="D175" s="1"/>
      <c r="E175" s="1"/>
      <c r="F175" s="1"/>
      <c r="G175" s="1"/>
      <c r="H175" s="1"/>
      <c r="I175" s="1"/>
    </row>
    <row r="176" spans="1:9" x14ac:dyDescent="0.2">
      <c r="A176" s="9"/>
      <c r="B176" s="9"/>
      <c r="C176" s="2"/>
      <c r="D176" s="1"/>
      <c r="E176" s="1"/>
      <c r="F176" s="1"/>
      <c r="G176" s="1"/>
      <c r="H176" s="1"/>
      <c r="I176" s="1"/>
    </row>
    <row r="177" spans="1:9" x14ac:dyDescent="0.2">
      <c r="A177" s="9"/>
      <c r="B177" s="9"/>
      <c r="C177" s="2"/>
      <c r="D177" s="1"/>
      <c r="E177" s="1"/>
      <c r="F177" s="1"/>
      <c r="G177" s="1"/>
      <c r="H177" s="1"/>
      <c r="I177" s="1"/>
    </row>
  </sheetData>
  <pageMargins left="0.7" right="0.7" top="0.78740157499999996" bottom="0.78740157499999996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BV202"/>
  <sheetViews>
    <sheetView zoomScale="87" zoomScaleNormal="87" zoomScalePageLayoutView="87" workbookViewId="0">
      <selection activeCell="A5" sqref="A5"/>
    </sheetView>
  </sheetViews>
  <sheetFormatPr baseColWidth="10" defaultRowHeight="16" x14ac:dyDescent="0.2"/>
  <cols>
    <col min="1" max="1" width="15.83203125" customWidth="1"/>
    <col min="2" max="2" width="16.6640625" customWidth="1"/>
    <col min="3" max="3" width="11.33203125" customWidth="1"/>
    <col min="4" max="6" width="10" customWidth="1"/>
    <col min="7" max="7" width="10.83203125" customWidth="1"/>
    <col min="8" max="8" width="16.33203125" bestFit="1" customWidth="1"/>
    <col min="9" max="9" width="10" customWidth="1"/>
    <col min="10" max="10" width="10.5" customWidth="1"/>
    <col min="11" max="11" width="10" customWidth="1"/>
    <col min="12" max="13" width="9.33203125" customWidth="1"/>
    <col min="14" max="14" width="16.6640625" customWidth="1"/>
    <col min="15" max="15" width="10.1640625" customWidth="1"/>
    <col min="16" max="16" width="10.33203125" customWidth="1"/>
    <col min="17" max="17" width="10" customWidth="1"/>
    <col min="18" max="18" width="8.1640625" bestFit="1" customWidth="1"/>
    <col min="19" max="19" width="9.33203125" customWidth="1"/>
    <col min="20" max="20" width="16.33203125" customWidth="1"/>
  </cols>
  <sheetData>
    <row r="2" spans="1:72" ht="18" x14ac:dyDescent="0.2">
      <c r="A2" s="53" t="s">
        <v>948</v>
      </c>
      <c r="B2" s="14"/>
    </row>
    <row r="4" spans="1:72" ht="18" x14ac:dyDescent="0.2">
      <c r="A4" s="438" t="s">
        <v>1062</v>
      </c>
      <c r="B4" s="438"/>
      <c r="C4" s="438"/>
      <c r="D4" s="438"/>
      <c r="E4" s="438"/>
      <c r="F4" s="438"/>
      <c r="G4" s="438"/>
      <c r="H4" s="438"/>
      <c r="I4" s="93"/>
    </row>
    <row r="6" spans="1:72" x14ac:dyDescent="0.2">
      <c r="B6" s="200" t="s">
        <v>949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72" x14ac:dyDescent="0.2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</row>
    <row r="8" spans="1:72" x14ac:dyDescent="0.2">
      <c r="B8" s="206" t="s">
        <v>1052</v>
      </c>
      <c r="C8" s="314"/>
      <c r="D8" s="314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64"/>
      <c r="V8" s="64"/>
      <c r="W8" s="64"/>
      <c r="X8" s="64"/>
      <c r="Y8" s="64"/>
      <c r="Z8" s="64"/>
      <c r="AA8" s="64"/>
      <c r="AB8" s="64"/>
      <c r="AC8" s="64"/>
      <c r="AD8" s="64"/>
      <c r="AE8" s="58"/>
      <c r="AF8" s="58"/>
      <c r="AG8" s="58"/>
      <c r="AH8" s="58"/>
      <c r="AI8" s="58"/>
      <c r="AJ8" s="58"/>
      <c r="AK8" s="58"/>
    </row>
    <row r="9" spans="1:72" x14ac:dyDescent="0.2">
      <c r="A9" s="9"/>
      <c r="B9" s="9"/>
      <c r="C9" s="9"/>
      <c r="D9" s="9"/>
      <c r="E9" s="9"/>
      <c r="F9" s="9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9"/>
      <c r="U9" s="64"/>
      <c r="V9" s="64"/>
      <c r="W9" s="64"/>
      <c r="X9" s="64"/>
      <c r="Y9" s="64"/>
      <c r="Z9" s="64"/>
      <c r="AA9" s="64"/>
      <c r="AB9" s="64"/>
      <c r="AC9" s="64"/>
      <c r="AD9" s="64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</row>
    <row r="10" spans="1:72" x14ac:dyDescent="0.2">
      <c r="A10" s="68"/>
      <c r="B10" s="9"/>
      <c r="C10" s="517" t="s">
        <v>707</v>
      </c>
      <c r="D10" s="518"/>
      <c r="E10" s="519"/>
      <c r="F10" s="64"/>
      <c r="G10" s="517" t="s">
        <v>708</v>
      </c>
      <c r="H10" s="518"/>
      <c r="I10" s="519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</row>
    <row r="11" spans="1:72" x14ac:dyDescent="0.2">
      <c r="A11" s="64"/>
      <c r="B11" s="9"/>
      <c r="C11" s="431" t="s">
        <v>32</v>
      </c>
      <c r="D11" s="431" t="s">
        <v>33</v>
      </c>
      <c r="E11" s="431" t="s">
        <v>34</v>
      </c>
      <c r="F11" s="309"/>
      <c r="G11" s="431" t="s">
        <v>32</v>
      </c>
      <c r="H11" s="431" t="s">
        <v>33</v>
      </c>
      <c r="I11" s="431" t="s">
        <v>34</v>
      </c>
      <c r="J11" s="309"/>
      <c r="K11" s="309"/>
      <c r="L11" s="309"/>
      <c r="M11" s="309"/>
      <c r="N11" s="309"/>
      <c r="O11" s="309"/>
      <c r="P11" s="309"/>
      <c r="Q11" s="309"/>
      <c r="R11" s="309"/>
      <c r="S11" s="309"/>
      <c r="T11" s="309"/>
      <c r="U11" s="309"/>
      <c r="V11" s="309"/>
      <c r="W11" s="309"/>
      <c r="X11" s="309"/>
      <c r="Y11" s="309"/>
      <c r="Z11" s="309"/>
      <c r="AA11" s="309"/>
      <c r="AB11" s="309"/>
      <c r="AC11" s="309"/>
      <c r="AD11" s="309"/>
      <c r="AE11" s="290"/>
      <c r="AF11" s="290"/>
      <c r="AG11" s="290"/>
      <c r="AH11" s="290"/>
      <c r="AI11" s="290"/>
      <c r="AJ11" s="290"/>
      <c r="AK11" s="290"/>
      <c r="AL11" s="290"/>
      <c r="AM11" s="290"/>
      <c r="AN11" s="290"/>
      <c r="AO11" s="290"/>
      <c r="AP11" s="290"/>
      <c r="AQ11" s="290"/>
      <c r="AR11" s="290"/>
      <c r="AS11" s="290"/>
      <c r="AT11" s="290"/>
      <c r="AU11" s="290"/>
      <c r="AV11" s="290"/>
      <c r="AW11" s="290"/>
      <c r="AX11" s="290"/>
      <c r="AY11" s="290"/>
      <c r="AZ11" s="290"/>
      <c r="BA11" s="58"/>
    </row>
    <row r="12" spans="1:72" x14ac:dyDescent="0.2">
      <c r="A12" s="143"/>
      <c r="B12" s="161" t="s">
        <v>951</v>
      </c>
      <c r="C12" s="17">
        <v>73</v>
      </c>
      <c r="D12" s="17">
        <v>24</v>
      </c>
      <c r="E12" s="17">
        <v>16</v>
      </c>
      <c r="F12" s="64"/>
      <c r="G12" s="17">
        <v>12</v>
      </c>
      <c r="H12" s="17">
        <v>12</v>
      </c>
      <c r="I12" s="17">
        <v>46</v>
      </c>
      <c r="J12" s="310"/>
      <c r="K12" s="9"/>
      <c r="L12" s="310"/>
      <c r="M12" s="310"/>
      <c r="N12" s="310"/>
      <c r="O12" s="310"/>
      <c r="P12" s="310"/>
      <c r="Q12" s="310"/>
      <c r="R12" s="310"/>
      <c r="S12" s="310"/>
      <c r="T12" s="310"/>
      <c r="U12" s="310"/>
      <c r="V12" s="310"/>
      <c r="W12" s="310"/>
      <c r="X12" s="310"/>
      <c r="Y12" s="310"/>
      <c r="Z12" s="310"/>
      <c r="AA12" s="310"/>
      <c r="AB12" s="310"/>
      <c r="AC12" s="310"/>
      <c r="AD12" s="310"/>
      <c r="AE12" s="291"/>
      <c r="AF12" s="291"/>
      <c r="AG12" s="291"/>
      <c r="AH12" s="291"/>
      <c r="AI12" s="291"/>
      <c r="AJ12" s="291"/>
      <c r="AK12" s="291"/>
      <c r="AL12" s="291"/>
      <c r="AM12" s="291"/>
      <c r="AN12" s="291"/>
      <c r="AO12" s="291"/>
      <c r="AP12" s="291"/>
      <c r="AQ12" s="291"/>
      <c r="AR12" s="291"/>
      <c r="AS12" s="291"/>
      <c r="AT12" s="291"/>
      <c r="AU12" s="291"/>
      <c r="AV12" s="291"/>
      <c r="AW12" s="291"/>
      <c r="AX12" s="291"/>
      <c r="AY12" s="291"/>
      <c r="AZ12" s="291"/>
      <c r="BA12" s="58"/>
    </row>
    <row r="13" spans="1:72" x14ac:dyDescent="0.2">
      <c r="A13" s="143"/>
      <c r="B13" s="161" t="s">
        <v>950</v>
      </c>
      <c r="C13" s="17">
        <v>9</v>
      </c>
      <c r="D13" s="17">
        <v>14</v>
      </c>
      <c r="E13" s="17">
        <v>16</v>
      </c>
      <c r="F13" s="64"/>
      <c r="G13" s="17">
        <v>12</v>
      </c>
      <c r="H13" s="17">
        <v>12</v>
      </c>
      <c r="I13" s="17">
        <v>10</v>
      </c>
      <c r="J13" s="64"/>
      <c r="K13" s="9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  <c r="BD13" s="58"/>
      <c r="BE13" s="58"/>
      <c r="BF13" s="58"/>
      <c r="BG13" s="58"/>
      <c r="BH13" s="58"/>
      <c r="BI13" s="58"/>
      <c r="BJ13" s="58"/>
      <c r="BK13" s="58"/>
      <c r="BL13" s="58"/>
      <c r="BM13" s="58"/>
      <c r="BN13" s="58"/>
      <c r="BO13" s="58"/>
      <c r="BP13" s="58"/>
      <c r="BQ13" s="58"/>
      <c r="BR13" s="58"/>
      <c r="BS13" s="58"/>
      <c r="BT13" s="58"/>
    </row>
    <row r="14" spans="1:72" x14ac:dyDescent="0.2">
      <c r="A14" s="151"/>
      <c r="B14" s="11" t="s">
        <v>952</v>
      </c>
      <c r="C14" s="311">
        <f>C13/C12*100</f>
        <v>12.328767123287671</v>
      </c>
      <c r="D14" s="311">
        <f>D13/D12*100</f>
        <v>58.333333333333336</v>
      </c>
      <c r="E14" s="311">
        <f>E13/E12*100</f>
        <v>100</v>
      </c>
      <c r="F14" s="310"/>
      <c r="G14" s="311">
        <f>G13/G12*100</f>
        <v>100</v>
      </c>
      <c r="H14" s="311">
        <f>H13/H12*100</f>
        <v>100</v>
      </c>
      <c r="I14" s="311">
        <f>I13/I12*100</f>
        <v>21.739130434782609</v>
      </c>
      <c r="J14" s="64"/>
      <c r="K14" s="9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  <c r="BD14" s="58"/>
      <c r="BE14" s="58"/>
      <c r="BF14" s="58"/>
      <c r="BG14" s="58"/>
      <c r="BH14" s="58"/>
      <c r="BI14" s="58"/>
      <c r="BJ14" s="58"/>
      <c r="BK14" s="58"/>
      <c r="BL14" s="58"/>
      <c r="BM14" s="58"/>
      <c r="BN14" s="58"/>
      <c r="BO14" s="58"/>
      <c r="BP14" s="58"/>
      <c r="BQ14" s="58"/>
      <c r="BR14" s="58"/>
      <c r="BS14" s="58"/>
      <c r="BT14" s="58"/>
    </row>
    <row r="15" spans="1:72" x14ac:dyDescent="0.2">
      <c r="A15" s="9"/>
      <c r="B15" s="9"/>
      <c r="C15" s="9"/>
      <c r="D15" s="9"/>
      <c r="E15" s="9"/>
      <c r="F15" s="9"/>
      <c r="G15" s="9"/>
      <c r="H15" s="9"/>
      <c r="I15" s="9"/>
      <c r="J15" s="64"/>
      <c r="K15" s="64"/>
      <c r="L15" s="64"/>
      <c r="M15" s="245"/>
      <c r="N15" s="64"/>
      <c r="O15" s="64"/>
      <c r="P15" s="64"/>
      <c r="Q15" s="64"/>
      <c r="R15" s="64"/>
      <c r="S15" s="64"/>
      <c r="T15" s="64"/>
      <c r="U15" s="245"/>
      <c r="V15" s="64"/>
      <c r="W15" s="64"/>
      <c r="X15" s="64"/>
      <c r="Y15" s="64"/>
      <c r="Z15" s="245"/>
      <c r="AA15" s="64"/>
      <c r="AB15" s="64"/>
      <c r="AC15" s="64"/>
      <c r="AD15" s="64"/>
      <c r="AE15" s="58"/>
      <c r="AF15" s="58"/>
      <c r="AG15" s="292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292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8"/>
      <c r="BT15" s="58"/>
    </row>
    <row r="16" spans="1:72" x14ac:dyDescent="0.2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312"/>
      <c r="T16" s="9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58"/>
      <c r="BL16" s="58"/>
      <c r="BM16" s="58"/>
      <c r="BN16" s="58"/>
      <c r="BO16" s="58"/>
      <c r="BP16" s="58"/>
      <c r="BQ16" s="58"/>
      <c r="BR16" s="58"/>
      <c r="BS16" s="58"/>
      <c r="BT16" s="58"/>
    </row>
    <row r="17" spans="1:72" x14ac:dyDescent="0.2">
      <c r="A17" s="68"/>
      <c r="B17" s="64"/>
      <c r="C17" s="517" t="s">
        <v>2</v>
      </c>
      <c r="D17" s="518"/>
      <c r="E17" s="519"/>
      <c r="F17" s="64"/>
      <c r="G17" s="517" t="s">
        <v>3</v>
      </c>
      <c r="H17" s="518"/>
      <c r="I17" s="519"/>
      <c r="J17" s="64"/>
      <c r="K17" s="517" t="s">
        <v>4</v>
      </c>
      <c r="L17" s="518"/>
      <c r="M17" s="519"/>
      <c r="N17" s="64"/>
      <c r="O17" s="64"/>
      <c r="P17" s="64"/>
      <c r="Q17" s="64"/>
      <c r="R17" s="64"/>
      <c r="S17" s="313"/>
      <c r="T17" s="64"/>
      <c r="U17" s="64"/>
      <c r="V17" s="64"/>
      <c r="W17" s="64"/>
      <c r="X17" s="64"/>
      <c r="Y17" s="64"/>
      <c r="Z17" s="313"/>
      <c r="AA17" s="64"/>
      <c r="AB17" s="64"/>
      <c r="AC17" s="64"/>
      <c r="AD17" s="64"/>
      <c r="AE17" s="58"/>
      <c r="AF17" s="58"/>
      <c r="AG17" s="293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  <c r="BI17" s="58"/>
      <c r="BJ17" s="58"/>
      <c r="BK17" s="58"/>
      <c r="BL17" s="58"/>
      <c r="BM17" s="58"/>
      <c r="BN17" s="58"/>
      <c r="BO17" s="58"/>
      <c r="BP17" s="58"/>
      <c r="BQ17" s="58"/>
      <c r="BR17" s="58"/>
      <c r="BS17" s="58"/>
      <c r="BT17" s="58"/>
    </row>
    <row r="18" spans="1:72" x14ac:dyDescent="0.2">
      <c r="A18" s="64"/>
      <c r="B18" s="309"/>
      <c r="C18" s="431" t="s">
        <v>32</v>
      </c>
      <c r="D18" s="432" t="s">
        <v>33</v>
      </c>
      <c r="E18" s="431" t="s">
        <v>34</v>
      </c>
      <c r="F18" s="309"/>
      <c r="G18" s="431" t="s">
        <v>32</v>
      </c>
      <c r="H18" s="431" t="s">
        <v>33</v>
      </c>
      <c r="I18" s="431" t="s">
        <v>34</v>
      </c>
      <c r="J18" s="309"/>
      <c r="K18" s="431" t="s">
        <v>32</v>
      </c>
      <c r="L18" s="431" t="s">
        <v>33</v>
      </c>
      <c r="M18" s="431" t="s">
        <v>34</v>
      </c>
      <c r="N18" s="309"/>
      <c r="O18" s="309"/>
      <c r="P18" s="309"/>
      <c r="Q18" s="309"/>
      <c r="R18" s="309"/>
      <c r="S18" s="309"/>
      <c r="T18" s="309"/>
      <c r="U18" s="309"/>
      <c r="V18" s="309"/>
      <c r="W18" s="309"/>
      <c r="X18" s="309"/>
      <c r="Y18" s="309"/>
      <c r="Z18" s="309"/>
      <c r="AA18" s="309"/>
      <c r="AB18" s="309"/>
      <c r="AC18" s="309"/>
      <c r="AD18" s="309"/>
      <c r="AE18" s="290"/>
      <c r="AF18" s="290"/>
      <c r="AG18" s="290"/>
      <c r="AH18" s="290"/>
      <c r="AI18" s="290"/>
      <c r="AJ18" s="290"/>
      <c r="AK18" s="290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AY18" s="58"/>
      <c r="AZ18" s="58"/>
      <c r="BA18" s="290"/>
      <c r="BB18" s="290"/>
      <c r="BC18" s="290"/>
      <c r="BD18" s="290"/>
      <c r="BE18" s="290"/>
      <c r="BF18" s="290"/>
      <c r="BG18" s="290"/>
      <c r="BH18" s="290"/>
      <c r="BI18" s="290"/>
      <c r="BJ18" s="290"/>
      <c r="BK18" s="290"/>
      <c r="BL18" s="290"/>
      <c r="BM18" s="290"/>
      <c r="BN18" s="290"/>
      <c r="BO18" s="290"/>
      <c r="BP18" s="290"/>
      <c r="BQ18" s="290"/>
      <c r="BR18" s="58"/>
      <c r="BS18" s="58"/>
      <c r="BT18" s="58"/>
    </row>
    <row r="19" spans="1:72" x14ac:dyDescent="0.2">
      <c r="A19" s="143"/>
      <c r="B19" s="161" t="s">
        <v>951</v>
      </c>
      <c r="C19" s="17">
        <v>14</v>
      </c>
      <c r="D19" s="17">
        <v>64</v>
      </c>
      <c r="E19" s="17">
        <v>65</v>
      </c>
      <c r="F19" s="64"/>
      <c r="G19" s="17">
        <v>56</v>
      </c>
      <c r="H19" s="17">
        <v>10</v>
      </c>
      <c r="I19" s="17">
        <v>68</v>
      </c>
      <c r="J19" s="64"/>
      <c r="K19" s="17">
        <v>56</v>
      </c>
      <c r="L19" s="17">
        <v>61</v>
      </c>
      <c r="M19" s="17">
        <v>72</v>
      </c>
      <c r="N19" s="9"/>
      <c r="O19" s="245"/>
      <c r="P19" s="245"/>
      <c r="Q19" s="245"/>
      <c r="R19" s="245"/>
      <c r="S19" s="245"/>
      <c r="T19" s="245"/>
      <c r="U19" s="245"/>
      <c r="V19" s="245"/>
      <c r="W19" s="245"/>
      <c r="X19" s="245"/>
      <c r="Y19" s="245"/>
      <c r="Z19" s="245"/>
      <c r="AA19" s="245"/>
      <c r="AB19" s="245"/>
      <c r="AC19" s="245"/>
      <c r="AD19" s="245"/>
      <c r="AE19" s="292"/>
      <c r="AF19" s="292"/>
      <c r="AG19" s="292"/>
      <c r="AH19" s="292"/>
      <c r="AI19" s="292"/>
      <c r="AJ19" s="292"/>
      <c r="AK19" s="292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292"/>
      <c r="BB19" s="292"/>
      <c r="BC19" s="292"/>
      <c r="BD19" s="292"/>
      <c r="BE19" s="292"/>
      <c r="BF19" s="292"/>
      <c r="BG19" s="292"/>
      <c r="BH19" s="292"/>
      <c r="BI19" s="292"/>
      <c r="BJ19" s="292"/>
      <c r="BK19" s="292"/>
      <c r="BL19" s="292"/>
      <c r="BM19" s="292"/>
      <c r="BN19" s="292"/>
      <c r="BO19" s="292"/>
      <c r="BP19" s="292"/>
      <c r="BQ19" s="292"/>
      <c r="BR19" s="58"/>
      <c r="BS19" s="58"/>
      <c r="BT19" s="58"/>
    </row>
    <row r="20" spans="1:72" x14ac:dyDescent="0.2">
      <c r="A20" s="143"/>
      <c r="B20" s="161" t="s">
        <v>950</v>
      </c>
      <c r="C20" s="17">
        <v>14</v>
      </c>
      <c r="D20" s="17">
        <v>7</v>
      </c>
      <c r="E20" s="17">
        <v>7</v>
      </c>
      <c r="F20" s="64"/>
      <c r="G20" s="17">
        <v>7</v>
      </c>
      <c r="H20" s="17">
        <v>10</v>
      </c>
      <c r="I20" s="17">
        <v>7</v>
      </c>
      <c r="J20" s="64"/>
      <c r="K20" s="17">
        <v>7</v>
      </c>
      <c r="L20" s="17">
        <v>7</v>
      </c>
      <c r="M20" s="17">
        <v>7</v>
      </c>
      <c r="N20" s="9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BM20" s="58"/>
      <c r="BN20" s="58"/>
      <c r="BO20" s="58"/>
      <c r="BP20" s="58"/>
      <c r="BQ20" s="58"/>
      <c r="BR20" s="58"/>
      <c r="BS20" s="58"/>
      <c r="BT20" s="58"/>
    </row>
    <row r="21" spans="1:72" x14ac:dyDescent="0.2">
      <c r="A21" s="151"/>
      <c r="B21" s="11" t="s">
        <v>952</v>
      </c>
      <c r="C21" s="218">
        <f>C20/C19*100</f>
        <v>100</v>
      </c>
      <c r="D21" s="218">
        <f>D20/D19*100</f>
        <v>10.9375</v>
      </c>
      <c r="E21" s="17">
        <f>E20/E19*100</f>
        <v>10.76923076923077</v>
      </c>
      <c r="F21" s="245"/>
      <c r="G21" s="218">
        <f>G20/G19*100</f>
        <v>12.5</v>
      </c>
      <c r="H21" s="218">
        <f>H20/H19*100</f>
        <v>100</v>
      </c>
      <c r="I21" s="218">
        <f>I20/I19*100</f>
        <v>10.294117647058822</v>
      </c>
      <c r="J21" s="245"/>
      <c r="K21" s="218">
        <f>K20/K19*100</f>
        <v>12.5</v>
      </c>
      <c r="L21" s="218">
        <f>L20/L19*100</f>
        <v>11.475409836065573</v>
      </c>
      <c r="M21" s="218">
        <f>M20/M19*100</f>
        <v>9.7222222222222232</v>
      </c>
      <c r="N21" s="9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  <c r="BF21" s="58"/>
      <c r="BG21" s="58"/>
      <c r="BH21" s="58"/>
      <c r="BI21" s="58"/>
      <c r="BJ21" s="58"/>
      <c r="BK21" s="58"/>
      <c r="BL21" s="58"/>
      <c r="BM21" s="58"/>
      <c r="BN21" s="58"/>
      <c r="BO21" s="58"/>
      <c r="BP21" s="58"/>
      <c r="BQ21" s="58"/>
      <c r="BR21" s="58"/>
      <c r="BS21" s="58"/>
      <c r="BT21" s="58"/>
    </row>
    <row r="22" spans="1:72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64"/>
      <c r="O22" s="64"/>
      <c r="P22" s="64"/>
      <c r="Q22" s="64"/>
      <c r="R22" s="245"/>
      <c r="S22" s="64"/>
      <c r="T22" s="64"/>
      <c r="U22" s="64"/>
      <c r="V22" s="64"/>
      <c r="W22" s="64"/>
      <c r="X22" s="64"/>
      <c r="Y22" s="245"/>
      <c r="Z22" s="64"/>
      <c r="AA22" s="64"/>
      <c r="AB22" s="64"/>
      <c r="AC22" s="64"/>
      <c r="AD22" s="64"/>
      <c r="AE22" s="58"/>
      <c r="AF22" s="292"/>
      <c r="AG22" s="292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58"/>
      <c r="BE22" s="58"/>
      <c r="BF22" s="58"/>
      <c r="BG22" s="58"/>
      <c r="BH22" s="58"/>
      <c r="BI22" s="58"/>
      <c r="BJ22" s="58"/>
      <c r="BK22" s="58"/>
      <c r="BL22" s="58"/>
      <c r="BM22" s="58"/>
      <c r="BN22" s="58"/>
      <c r="BO22" s="58"/>
      <c r="BP22" s="58"/>
      <c r="BQ22" s="58"/>
      <c r="BR22" s="58"/>
      <c r="BS22" s="58"/>
      <c r="BT22" s="58"/>
    </row>
    <row r="23" spans="1:72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58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8"/>
      <c r="BB23" s="58"/>
      <c r="BC23" s="58"/>
      <c r="BD23" s="58"/>
      <c r="BE23" s="58"/>
      <c r="BF23" s="58"/>
      <c r="BG23" s="58"/>
      <c r="BH23" s="58"/>
      <c r="BI23" s="58"/>
      <c r="BJ23" s="58"/>
      <c r="BK23" s="58"/>
      <c r="BL23" s="58"/>
      <c r="BM23" s="58"/>
      <c r="BN23" s="58"/>
      <c r="BO23" s="58"/>
      <c r="BP23" s="58"/>
      <c r="BQ23" s="58"/>
      <c r="BR23" s="58"/>
      <c r="BS23" s="58"/>
      <c r="BT23" s="58"/>
    </row>
    <row r="24" spans="1:72" x14ac:dyDescent="0.2">
      <c r="A24" s="64"/>
      <c r="B24" s="64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</row>
    <row r="25" spans="1:72" x14ac:dyDescent="0.2">
      <c r="A25" s="64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  <c r="BM25" s="58"/>
      <c r="BN25" s="58"/>
      <c r="BO25" s="58"/>
      <c r="BP25" s="58"/>
      <c r="BQ25" s="58"/>
      <c r="BR25" s="58"/>
      <c r="BS25" s="58"/>
      <c r="BT25" s="58"/>
    </row>
    <row r="26" spans="1:72" x14ac:dyDescent="0.2">
      <c r="A26" s="9"/>
      <c r="B26" s="9"/>
      <c r="C26" s="308" t="s">
        <v>1</v>
      </c>
      <c r="D26" s="308" t="s">
        <v>296</v>
      </c>
      <c r="F26" s="9"/>
      <c r="G26" s="9"/>
      <c r="H26" s="9"/>
      <c r="I26" s="9"/>
      <c r="J26" s="9"/>
      <c r="K26" s="2"/>
      <c r="L26" s="1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292"/>
      <c r="AW26" s="58"/>
      <c r="AX26" s="292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  <c r="BO26" s="58"/>
      <c r="BP26" s="58"/>
      <c r="BQ26" s="58"/>
      <c r="BR26" s="58"/>
      <c r="BS26" s="58"/>
      <c r="BT26" s="58"/>
    </row>
    <row r="27" spans="1:72" x14ac:dyDescent="0.2">
      <c r="A27" s="9"/>
      <c r="B27" s="17" t="s">
        <v>51</v>
      </c>
      <c r="C27" s="315">
        <f>AVERAGE(C14:E14,G14:I14)</f>
        <v>65.400205148567281</v>
      </c>
      <c r="D27" s="315">
        <f>AVERAGE(C21:E21,G21:I21,K21:M21)</f>
        <v>30.910942274953047</v>
      </c>
      <c r="F27" s="9"/>
      <c r="G27" s="2"/>
      <c r="H27" s="9"/>
      <c r="I27" s="9"/>
      <c r="J27" s="273"/>
      <c r="K27" s="2"/>
      <c r="L27" s="1"/>
      <c r="M27" s="9"/>
      <c r="N27" s="9"/>
      <c r="O27" s="9"/>
      <c r="P27" s="9"/>
      <c r="Q27" s="9"/>
      <c r="R27" s="9"/>
      <c r="S27" s="106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L27" s="58"/>
      <c r="AM27" s="58"/>
      <c r="AN27" s="58"/>
      <c r="AO27" s="58"/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58"/>
      <c r="BD27" s="58"/>
      <c r="BE27" s="58"/>
      <c r="BF27" s="58"/>
      <c r="BG27" s="58"/>
      <c r="BH27" s="58"/>
      <c r="BI27" s="58"/>
      <c r="BJ27" s="58"/>
      <c r="BK27" s="58"/>
      <c r="BL27" s="58"/>
      <c r="BM27" s="58"/>
      <c r="BN27" s="58"/>
      <c r="BO27" s="58"/>
      <c r="BP27" s="58"/>
      <c r="BQ27" s="58"/>
      <c r="BR27" s="58"/>
      <c r="BS27" s="58"/>
      <c r="BT27" s="58"/>
    </row>
    <row r="28" spans="1:72" x14ac:dyDescent="0.2">
      <c r="A28" s="9"/>
      <c r="B28" s="17" t="s">
        <v>13</v>
      </c>
      <c r="C28" s="55">
        <f>STDEV(C14:E14,G14:I14)</f>
        <v>40.900476935533206</v>
      </c>
      <c r="D28" s="17">
        <f>STDEV(C21:E21,G21:I21,K21:M21)</f>
        <v>39.180517417233439</v>
      </c>
      <c r="F28" s="9"/>
      <c r="G28" s="2"/>
      <c r="H28" s="9"/>
      <c r="I28" s="9"/>
      <c r="J28" s="273"/>
      <c r="K28" s="2"/>
      <c r="L28" s="1"/>
      <c r="M28" s="9"/>
      <c r="N28" s="9"/>
      <c r="O28" s="9"/>
      <c r="P28" s="9"/>
      <c r="Q28" s="9"/>
      <c r="R28" s="9"/>
      <c r="S28" s="64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L28" s="58"/>
      <c r="AM28" s="58"/>
      <c r="AN28" s="58"/>
      <c r="AO28" s="58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</row>
    <row r="29" spans="1:72" x14ac:dyDescent="0.2">
      <c r="A29" s="9"/>
      <c r="B29" s="17" t="s">
        <v>941</v>
      </c>
      <c r="C29" s="83">
        <f>SUM(C12:E12,G12:I12)</f>
        <v>183</v>
      </c>
      <c r="D29" s="83">
        <f>SUM(C19:E19,G19:I19,K19:M19)</f>
        <v>466</v>
      </c>
      <c r="F29" s="9"/>
      <c r="G29" s="2"/>
      <c r="H29" s="9"/>
      <c r="I29" s="9"/>
      <c r="J29" s="273"/>
      <c r="K29" s="2"/>
      <c r="L29" s="1"/>
      <c r="M29" s="9"/>
      <c r="N29" s="9"/>
      <c r="O29" s="9"/>
      <c r="P29" s="9"/>
      <c r="Q29" s="9"/>
      <c r="R29" s="9"/>
      <c r="S29" s="64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</row>
    <row r="30" spans="1:72" x14ac:dyDescent="0.2">
      <c r="A30" s="9"/>
      <c r="B30" s="17" t="s">
        <v>694</v>
      </c>
      <c r="C30" s="55">
        <v>6</v>
      </c>
      <c r="D30" s="17">
        <v>9</v>
      </c>
      <c r="F30" s="9"/>
      <c r="G30" s="2"/>
      <c r="H30" s="9"/>
      <c r="I30" s="9"/>
      <c r="J30" s="273"/>
      <c r="K30" s="2"/>
      <c r="L30" s="1"/>
      <c r="M30" s="9"/>
      <c r="N30" s="9"/>
      <c r="O30" s="9"/>
      <c r="P30" s="9"/>
      <c r="Q30" s="9"/>
      <c r="R30" s="9"/>
      <c r="S30" s="64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</row>
    <row r="31" spans="1:72" x14ac:dyDescent="0.2">
      <c r="A31" s="9"/>
      <c r="B31" s="17" t="s">
        <v>14</v>
      </c>
      <c r="C31" s="55">
        <f>C28/SQRT(6)</f>
        <v>16.697549788088093</v>
      </c>
      <c r="D31" s="17">
        <f>D28/SQRT(9)</f>
        <v>13.060172472411146</v>
      </c>
      <c r="F31" s="9"/>
      <c r="G31" s="9"/>
      <c r="H31" s="9"/>
      <c r="I31" s="9"/>
      <c r="J31" s="9"/>
      <c r="K31" s="2"/>
      <c r="L31" s="1"/>
      <c r="M31" s="9"/>
      <c r="N31" s="9"/>
      <c r="O31" s="9"/>
      <c r="P31" s="9"/>
      <c r="Q31" s="9"/>
      <c r="R31" s="9"/>
      <c r="S31" s="64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</row>
    <row r="32" spans="1:72" x14ac:dyDescent="0.2">
      <c r="A32" s="9"/>
      <c r="B32" s="68"/>
      <c r="C32" s="64"/>
      <c r="D32" s="68"/>
      <c r="F32" s="9"/>
      <c r="G32" s="9"/>
      <c r="H32" s="9"/>
      <c r="I32" s="9"/>
      <c r="J32" s="9"/>
      <c r="K32" s="2"/>
      <c r="L32" s="1"/>
      <c r="M32" s="9"/>
      <c r="N32" s="9"/>
      <c r="O32" s="9"/>
      <c r="P32" s="9"/>
      <c r="Q32" s="9"/>
      <c r="R32" s="9"/>
      <c r="S32" s="64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</row>
    <row r="33" spans="1:30" x14ac:dyDescent="0.2">
      <c r="A33" s="9"/>
      <c r="B33" s="68"/>
      <c r="C33" s="64"/>
      <c r="D33" s="68"/>
      <c r="F33" s="9"/>
      <c r="G33" s="9"/>
      <c r="H33" s="9"/>
      <c r="I33" s="9"/>
      <c r="J33" s="9"/>
      <c r="K33" s="2"/>
      <c r="L33" s="1"/>
      <c r="M33" s="9"/>
      <c r="N33" s="9"/>
      <c r="O33" s="9"/>
      <c r="P33" s="9"/>
      <c r="Q33" s="9"/>
      <c r="R33" s="9"/>
      <c r="S33" s="64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</row>
    <row r="34" spans="1:30" ht="18" x14ac:dyDescent="0.2">
      <c r="A34" s="9"/>
      <c r="B34" s="19" t="s">
        <v>52</v>
      </c>
      <c r="C34" s="20"/>
      <c r="D34" s="20"/>
      <c r="E34" s="20"/>
      <c r="F34" s="9"/>
      <c r="G34" s="9"/>
      <c r="H34" s="9"/>
      <c r="I34" s="9"/>
      <c r="J34" s="9"/>
      <c r="K34" s="2"/>
      <c r="L34" s="1"/>
      <c r="M34" s="9"/>
      <c r="N34" s="9"/>
      <c r="O34" s="9"/>
      <c r="P34" s="9"/>
      <c r="Q34" s="9"/>
      <c r="R34" s="9"/>
      <c r="S34" s="64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</row>
    <row r="35" spans="1:30" x14ac:dyDescent="0.2">
      <c r="A35" s="9"/>
      <c r="B35" s="68"/>
      <c r="C35" s="64"/>
      <c r="D35" s="68"/>
      <c r="F35" s="9"/>
      <c r="G35" s="9"/>
      <c r="H35" s="9"/>
      <c r="I35" s="9"/>
      <c r="J35" s="9"/>
      <c r="K35" s="2"/>
      <c r="L35" s="1"/>
      <c r="M35" s="9"/>
      <c r="N35" s="9"/>
      <c r="O35" s="9"/>
      <c r="P35" s="9"/>
      <c r="Q35" s="9"/>
      <c r="R35" s="9"/>
      <c r="S35" s="64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</row>
    <row r="36" spans="1:30" x14ac:dyDescent="0.2">
      <c r="A36" s="9"/>
      <c r="B36" s="3" t="s">
        <v>243</v>
      </c>
      <c r="C36" s="1"/>
      <c r="D36" s="1"/>
      <c r="E36" s="46" t="s">
        <v>1</v>
      </c>
      <c r="F36" s="65" t="s">
        <v>296</v>
      </c>
      <c r="G36" s="9"/>
      <c r="H36" s="9"/>
      <c r="I36" s="9"/>
      <c r="J36" s="9"/>
      <c r="K36" s="2"/>
      <c r="L36" s="1"/>
      <c r="M36" s="9"/>
      <c r="N36" s="9"/>
      <c r="O36" s="9"/>
      <c r="P36" s="9"/>
      <c r="Q36" s="9"/>
      <c r="R36" s="9"/>
      <c r="S36" s="64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</row>
    <row r="37" spans="1:30" x14ac:dyDescent="0.2">
      <c r="A37" s="9"/>
      <c r="B37" s="2" t="s">
        <v>244</v>
      </c>
      <c r="E37" s="1">
        <v>0.80420000000000003</v>
      </c>
      <c r="F37" s="46">
        <v>0.55740000000000001</v>
      </c>
      <c r="G37" s="9"/>
      <c r="H37" s="9"/>
      <c r="I37" s="9"/>
      <c r="J37" s="9"/>
      <c r="K37" s="2"/>
      <c r="L37" s="1"/>
      <c r="M37" s="9"/>
      <c r="N37" s="9"/>
      <c r="O37" s="9"/>
      <c r="P37" s="9"/>
      <c r="Q37" s="9"/>
      <c r="R37" s="9"/>
      <c r="S37" s="64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</row>
    <row r="38" spans="1:30" x14ac:dyDescent="0.2">
      <c r="A38" s="9"/>
      <c r="B38" s="2" t="s">
        <v>36</v>
      </c>
      <c r="E38" s="1">
        <v>6.4100000000000004E-2</v>
      </c>
      <c r="F38" s="46" t="s">
        <v>176</v>
      </c>
      <c r="G38" s="9"/>
      <c r="H38" s="9"/>
      <c r="I38" s="9"/>
      <c r="J38" s="9"/>
      <c r="K38" s="2"/>
      <c r="L38" s="1"/>
      <c r="M38" s="9"/>
      <c r="N38" s="9"/>
      <c r="O38" s="9"/>
      <c r="P38" s="9"/>
      <c r="Q38" s="9"/>
      <c r="R38" s="9"/>
      <c r="S38" s="64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</row>
    <row r="39" spans="1:30" x14ac:dyDescent="0.2">
      <c r="A39" s="9"/>
      <c r="B39" s="2" t="s">
        <v>245</v>
      </c>
      <c r="E39" s="46" t="s">
        <v>41</v>
      </c>
      <c r="F39" s="46" t="s">
        <v>49</v>
      </c>
      <c r="G39" s="9"/>
      <c r="H39" s="9"/>
      <c r="I39" s="9"/>
      <c r="J39" s="9"/>
      <c r="K39" s="2"/>
      <c r="L39" s="1"/>
      <c r="M39" s="9"/>
      <c r="N39" s="9"/>
      <c r="O39" s="9"/>
      <c r="P39" s="9"/>
      <c r="Q39" s="9"/>
      <c r="R39" s="9"/>
      <c r="S39" s="64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</row>
    <row r="40" spans="1:30" x14ac:dyDescent="0.2">
      <c r="A40" s="9"/>
      <c r="B40" s="2" t="s">
        <v>37</v>
      </c>
      <c r="E40" s="46" t="s">
        <v>9</v>
      </c>
      <c r="F40" s="46" t="s">
        <v>10</v>
      </c>
      <c r="G40" s="9"/>
      <c r="H40" s="9"/>
      <c r="I40" s="9"/>
      <c r="J40" s="9"/>
      <c r="K40" s="2"/>
      <c r="L40" s="1"/>
      <c r="M40" s="9"/>
      <c r="N40" s="9"/>
      <c r="O40" s="9"/>
      <c r="P40" s="9"/>
      <c r="Q40" s="9"/>
      <c r="R40" s="9"/>
      <c r="S40" s="64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</row>
    <row r="41" spans="1:30" x14ac:dyDescent="0.2">
      <c r="A41" s="9"/>
      <c r="B41" s="68"/>
      <c r="E41" s="64"/>
      <c r="F41" s="68"/>
      <c r="G41" s="9"/>
      <c r="H41" s="9"/>
      <c r="I41" s="9"/>
      <c r="J41" s="9"/>
      <c r="K41" s="2"/>
      <c r="L41" s="1"/>
      <c r="M41" s="9"/>
      <c r="N41" s="9"/>
      <c r="O41" s="9"/>
      <c r="P41" s="9"/>
      <c r="Q41" s="9"/>
      <c r="R41" s="9"/>
      <c r="S41" s="64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</row>
    <row r="42" spans="1:30" x14ac:dyDescent="0.2">
      <c r="A42" s="9"/>
      <c r="B42" s="3" t="s">
        <v>301</v>
      </c>
      <c r="D42" s="68"/>
      <c r="F42" s="1"/>
      <c r="G42" s="9"/>
      <c r="H42" s="9"/>
      <c r="I42" s="9"/>
      <c r="J42" s="9"/>
      <c r="K42" s="2"/>
      <c r="L42" s="1"/>
      <c r="M42" s="9"/>
      <c r="N42" s="9"/>
      <c r="O42" s="9"/>
      <c r="P42" s="9"/>
      <c r="Q42" s="9"/>
      <c r="R42" s="9"/>
      <c r="S42" s="64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</row>
    <row r="43" spans="1:30" x14ac:dyDescent="0.2">
      <c r="A43" s="9"/>
      <c r="B43" s="2" t="s">
        <v>36</v>
      </c>
      <c r="D43" s="68"/>
      <c r="F43" s="1">
        <v>5.7099999999999998E-2</v>
      </c>
      <c r="G43" s="9"/>
      <c r="H43" s="9"/>
      <c r="I43" s="9"/>
      <c r="J43" s="9"/>
      <c r="K43" s="2"/>
      <c r="L43" s="1"/>
      <c r="M43" s="9"/>
      <c r="N43" s="9"/>
      <c r="O43" s="9"/>
      <c r="P43" s="9"/>
      <c r="Q43" s="9"/>
      <c r="R43" s="9"/>
      <c r="S43" s="64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</row>
    <row r="44" spans="1:30" x14ac:dyDescent="0.2">
      <c r="A44" s="9"/>
      <c r="B44" s="2" t="s">
        <v>247</v>
      </c>
      <c r="D44" s="68"/>
      <c r="F44" s="46" t="s">
        <v>302</v>
      </c>
      <c r="G44" s="9"/>
      <c r="H44" s="9"/>
      <c r="I44" s="9"/>
      <c r="J44" s="9"/>
      <c r="K44" s="2"/>
      <c r="L44" s="1"/>
      <c r="M44" s="9"/>
      <c r="N44" s="9"/>
      <c r="O44" s="9"/>
      <c r="P44" s="9"/>
      <c r="Q44" s="9"/>
      <c r="R44" s="9"/>
      <c r="S44" s="64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</row>
    <row r="45" spans="1:30" x14ac:dyDescent="0.2">
      <c r="A45" s="9"/>
      <c r="B45" s="2" t="s">
        <v>37</v>
      </c>
      <c r="D45" s="68"/>
      <c r="F45" s="46" t="s">
        <v>9</v>
      </c>
      <c r="G45" s="9"/>
      <c r="H45" s="9"/>
      <c r="I45" s="9"/>
      <c r="J45" s="9"/>
      <c r="K45" s="2"/>
      <c r="L45" s="1"/>
      <c r="M45" s="9"/>
      <c r="N45" s="9"/>
      <c r="O45" s="9"/>
      <c r="P45" s="9"/>
      <c r="Q45" s="9"/>
      <c r="R45" s="9"/>
      <c r="S45" s="64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</row>
    <row r="46" spans="1:30" x14ac:dyDescent="0.2">
      <c r="A46" s="9"/>
      <c r="B46" s="2" t="s">
        <v>303</v>
      </c>
      <c r="D46" s="68"/>
      <c r="F46" s="46" t="s">
        <v>49</v>
      </c>
      <c r="G46" s="9"/>
      <c r="H46" s="9"/>
      <c r="I46" s="9"/>
      <c r="J46" s="9"/>
      <c r="K46" s="2"/>
      <c r="L46" s="1"/>
      <c r="M46" s="9"/>
      <c r="N46" s="9"/>
      <c r="O46" s="9"/>
      <c r="P46" s="9"/>
      <c r="Q46" s="9"/>
      <c r="R46" s="9"/>
      <c r="S46" s="64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</row>
    <row r="47" spans="1:30" x14ac:dyDescent="0.2">
      <c r="A47" s="9"/>
      <c r="B47" s="2" t="s">
        <v>304</v>
      </c>
      <c r="D47" s="68"/>
      <c r="F47" s="46" t="s">
        <v>305</v>
      </c>
      <c r="G47" s="9"/>
      <c r="H47" s="9"/>
      <c r="I47" s="9"/>
      <c r="J47" s="9"/>
      <c r="K47" s="2"/>
      <c r="L47" s="1"/>
      <c r="M47" s="9"/>
      <c r="N47" s="9"/>
      <c r="O47" s="9"/>
      <c r="P47" s="9"/>
      <c r="Q47" s="9"/>
      <c r="R47" s="9"/>
      <c r="S47" s="64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</row>
    <row r="48" spans="1:30" x14ac:dyDescent="0.2">
      <c r="A48" s="9"/>
      <c r="B48" s="2" t="s">
        <v>306</v>
      </c>
      <c r="D48" s="68"/>
      <c r="F48" s="46" t="s">
        <v>953</v>
      </c>
      <c r="G48" s="9"/>
      <c r="H48" s="9"/>
      <c r="I48" s="9"/>
      <c r="J48" s="9"/>
      <c r="K48" s="2"/>
      <c r="L48" s="1"/>
      <c r="M48" s="9"/>
      <c r="N48" s="9"/>
      <c r="O48" s="9"/>
      <c r="P48" s="9"/>
      <c r="Q48" s="9"/>
      <c r="R48" s="9"/>
      <c r="S48" s="64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</row>
    <row r="49" spans="1:74" x14ac:dyDescent="0.2">
      <c r="A49" s="9"/>
      <c r="B49" s="2" t="s">
        <v>308</v>
      </c>
      <c r="D49" s="68"/>
      <c r="F49" s="1">
        <v>11</v>
      </c>
      <c r="G49" s="9"/>
      <c r="H49" s="9"/>
      <c r="I49" s="9"/>
      <c r="J49" s="9"/>
      <c r="K49" s="2"/>
      <c r="L49" s="1"/>
      <c r="M49" s="9"/>
      <c r="N49" s="9"/>
      <c r="O49" s="9"/>
      <c r="P49" s="9"/>
      <c r="Q49" s="9"/>
      <c r="R49" s="9"/>
      <c r="S49" s="64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</row>
    <row r="50" spans="1:74" x14ac:dyDescent="0.2">
      <c r="A50" s="9"/>
      <c r="B50" s="68"/>
      <c r="C50" s="64"/>
      <c r="D50" s="68"/>
      <c r="F50" s="9"/>
      <c r="G50" s="9"/>
      <c r="H50" s="9"/>
      <c r="I50" s="9"/>
      <c r="J50" s="9"/>
      <c r="K50" s="2"/>
      <c r="L50" s="1"/>
      <c r="M50" s="9"/>
      <c r="N50" s="9"/>
      <c r="O50" s="9"/>
      <c r="P50" s="9"/>
      <c r="Q50" s="9"/>
      <c r="R50" s="9"/>
      <c r="S50" s="64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</row>
    <row r="51" spans="1:74" x14ac:dyDescent="0.2">
      <c r="A51" s="9"/>
      <c r="B51" s="68"/>
      <c r="C51" s="64"/>
      <c r="D51" s="68"/>
      <c r="F51" s="9"/>
      <c r="G51" s="9"/>
      <c r="H51" s="9"/>
      <c r="I51" s="9"/>
      <c r="J51" s="9"/>
      <c r="K51" s="2"/>
      <c r="L51" s="1"/>
      <c r="M51" s="9"/>
      <c r="N51" s="9"/>
      <c r="O51" s="9"/>
      <c r="P51" s="9"/>
      <c r="Q51" s="9"/>
      <c r="R51" s="9"/>
      <c r="S51" s="64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</row>
    <row r="52" spans="1:74" x14ac:dyDescent="0.2">
      <c r="A52" s="9"/>
      <c r="B52" s="68"/>
      <c r="C52" s="64"/>
      <c r="D52" s="68"/>
      <c r="F52" s="9"/>
      <c r="G52" s="9"/>
      <c r="H52" s="9"/>
      <c r="I52" s="9"/>
      <c r="J52" s="9"/>
      <c r="K52" s="2"/>
      <c r="L52" s="1"/>
      <c r="M52" s="9"/>
      <c r="N52" s="9"/>
      <c r="O52" s="9"/>
      <c r="P52" s="9"/>
      <c r="Q52" s="9"/>
      <c r="R52" s="9"/>
      <c r="S52" s="64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</row>
    <row r="53" spans="1:74" x14ac:dyDescent="0.2">
      <c r="A53" s="9"/>
      <c r="B53" s="68"/>
      <c r="C53" s="64"/>
      <c r="D53" s="68"/>
      <c r="F53" s="9"/>
      <c r="G53" s="9"/>
      <c r="H53" s="9"/>
      <c r="I53" s="9"/>
      <c r="J53" s="9"/>
      <c r="K53" s="2"/>
      <c r="L53" s="1"/>
      <c r="M53" s="9"/>
      <c r="N53" s="9"/>
      <c r="O53" s="9"/>
      <c r="P53" s="9"/>
      <c r="Q53" s="9"/>
      <c r="R53" s="9"/>
      <c r="S53" s="64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</row>
    <row r="54" spans="1:74" x14ac:dyDescent="0.2">
      <c r="A54" s="9"/>
      <c r="B54" s="200" t="s">
        <v>954</v>
      </c>
      <c r="C54" s="64"/>
      <c r="D54" s="68"/>
      <c r="F54" s="9"/>
      <c r="G54" s="9"/>
      <c r="H54" s="9"/>
      <c r="I54" s="9"/>
      <c r="J54" s="9"/>
      <c r="K54" s="2"/>
      <c r="L54" s="1"/>
      <c r="M54" s="9"/>
      <c r="N54" s="9"/>
      <c r="O54" s="9"/>
      <c r="P54" s="9"/>
      <c r="Q54" s="9"/>
      <c r="R54" s="9"/>
      <c r="S54" s="64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</row>
    <row r="55" spans="1:74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</row>
    <row r="56" spans="1:74" x14ac:dyDescent="0.2">
      <c r="A56" s="9"/>
      <c r="B56" s="433" t="s">
        <v>1051</v>
      </c>
      <c r="C56" s="434"/>
      <c r="D56" s="434"/>
      <c r="E56" s="434"/>
      <c r="F56" s="434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</row>
    <row r="57" spans="1:74" x14ac:dyDescent="0.2">
      <c r="A57" s="9"/>
      <c r="B57" s="9"/>
      <c r="C57" s="9"/>
      <c r="D57" s="9"/>
      <c r="E57" s="9"/>
      <c r="F57" s="9"/>
      <c r="G57" s="64"/>
      <c r="H57" s="64"/>
      <c r="I57" s="64"/>
      <c r="J57" s="64"/>
      <c r="K57" s="64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BS57" s="78"/>
      <c r="BT57" s="78"/>
      <c r="BU57" s="78"/>
      <c r="BV57" s="78"/>
    </row>
    <row r="58" spans="1:74" x14ac:dyDescent="0.2">
      <c r="B58" s="9"/>
      <c r="C58" s="52" t="s">
        <v>955</v>
      </c>
      <c r="D58" s="9"/>
      <c r="E58" s="137"/>
      <c r="F58" s="137"/>
      <c r="G58" s="9"/>
      <c r="H58" s="9"/>
      <c r="I58" s="52" t="s">
        <v>955</v>
      </c>
      <c r="J58" s="9"/>
      <c r="K58" s="137"/>
      <c r="L58" s="137"/>
      <c r="M58" s="9"/>
      <c r="N58" s="9"/>
      <c r="O58" s="52" t="s">
        <v>955</v>
      </c>
      <c r="P58" s="9"/>
      <c r="Q58" s="137"/>
      <c r="R58" s="137"/>
      <c r="S58" s="9"/>
      <c r="T58" s="9"/>
      <c r="U58" s="52" t="s">
        <v>955</v>
      </c>
      <c r="V58" s="9"/>
      <c r="W58" s="137"/>
      <c r="X58" s="137"/>
      <c r="Y58" s="9"/>
      <c r="Z58" s="9"/>
      <c r="AA58" s="9"/>
      <c r="AB58" s="9"/>
      <c r="AC58" s="9"/>
      <c r="AD58" s="9"/>
      <c r="BS58" s="78"/>
      <c r="BT58" s="297"/>
      <c r="BU58" s="298"/>
      <c r="BV58" s="78"/>
    </row>
    <row r="59" spans="1:74" x14ac:dyDescent="0.2">
      <c r="B59" s="175" t="s">
        <v>956</v>
      </c>
      <c r="C59" s="316" t="s">
        <v>298</v>
      </c>
      <c r="D59" s="316" t="s">
        <v>943</v>
      </c>
      <c r="E59" s="316" t="s">
        <v>944</v>
      </c>
      <c r="F59" s="316" t="s">
        <v>945</v>
      </c>
      <c r="G59" s="9"/>
      <c r="H59" s="175" t="s">
        <v>194</v>
      </c>
      <c r="I59" s="316" t="s">
        <v>298</v>
      </c>
      <c r="J59" s="316" t="s">
        <v>943</v>
      </c>
      <c r="K59" s="316" t="s">
        <v>944</v>
      </c>
      <c r="L59" s="316" t="s">
        <v>945</v>
      </c>
      <c r="M59" s="9"/>
      <c r="N59" s="175" t="s">
        <v>197</v>
      </c>
      <c r="O59" s="316" t="s">
        <v>298</v>
      </c>
      <c r="P59" s="316" t="s">
        <v>943</v>
      </c>
      <c r="Q59" s="316" t="s">
        <v>944</v>
      </c>
      <c r="R59" s="316" t="s">
        <v>945</v>
      </c>
      <c r="S59" s="9"/>
      <c r="T59" s="175" t="s">
        <v>200</v>
      </c>
      <c r="U59" s="316" t="s">
        <v>298</v>
      </c>
      <c r="V59" s="316" t="s">
        <v>943</v>
      </c>
      <c r="W59" s="316" t="s">
        <v>944</v>
      </c>
      <c r="X59" s="316" t="s">
        <v>945</v>
      </c>
      <c r="Y59" s="9"/>
      <c r="Z59" s="9"/>
      <c r="AA59" s="9"/>
      <c r="AB59" s="9"/>
      <c r="AC59" s="9"/>
      <c r="AD59" s="9"/>
      <c r="BS59" s="78"/>
      <c r="BT59" s="78"/>
      <c r="BU59" s="78"/>
      <c r="BV59" s="78"/>
    </row>
    <row r="60" spans="1:74" x14ac:dyDescent="0.2">
      <c r="B60" s="435" t="s">
        <v>957</v>
      </c>
      <c r="C60" s="318" t="s">
        <v>946</v>
      </c>
      <c r="D60" s="318" t="s">
        <v>946</v>
      </c>
      <c r="E60" s="318" t="s">
        <v>946</v>
      </c>
      <c r="F60" s="318" t="s">
        <v>946</v>
      </c>
      <c r="G60" s="9"/>
      <c r="H60" s="435" t="s">
        <v>957</v>
      </c>
      <c r="I60" s="318" t="s">
        <v>946</v>
      </c>
      <c r="J60" s="318" t="s">
        <v>946</v>
      </c>
      <c r="K60" s="318" t="s">
        <v>946</v>
      </c>
      <c r="L60" s="318" t="s">
        <v>946</v>
      </c>
      <c r="M60" s="9"/>
      <c r="N60" s="435" t="s">
        <v>957</v>
      </c>
      <c r="O60" s="318" t="s">
        <v>946</v>
      </c>
      <c r="P60" s="318" t="s">
        <v>946</v>
      </c>
      <c r="Q60" s="318" t="s">
        <v>946</v>
      </c>
      <c r="R60" s="318" t="s">
        <v>946</v>
      </c>
      <c r="S60" s="9"/>
      <c r="T60" s="435" t="s">
        <v>957</v>
      </c>
      <c r="U60" s="318" t="s">
        <v>946</v>
      </c>
      <c r="V60" s="318" t="s">
        <v>946</v>
      </c>
      <c r="W60" s="318" t="s">
        <v>946</v>
      </c>
      <c r="X60" s="318" t="s">
        <v>946</v>
      </c>
      <c r="Y60" s="9"/>
      <c r="Z60" s="9"/>
      <c r="AA60" s="9"/>
      <c r="AB60" s="9"/>
      <c r="AC60" s="9"/>
      <c r="AD60" s="9"/>
      <c r="BS60" s="78"/>
      <c r="BT60" s="78"/>
      <c r="BU60" s="78"/>
      <c r="BV60" s="78"/>
    </row>
    <row r="61" spans="1:74" x14ac:dyDescent="0.2">
      <c r="B61" s="436">
        <v>1</v>
      </c>
      <c r="C61" s="319">
        <v>1</v>
      </c>
      <c r="D61" s="319">
        <v>1</v>
      </c>
      <c r="E61" s="319">
        <v>1</v>
      </c>
      <c r="F61" s="319">
        <v>1</v>
      </c>
      <c r="G61" s="9"/>
      <c r="H61" s="436">
        <v>1</v>
      </c>
      <c r="I61" s="319">
        <v>1</v>
      </c>
      <c r="J61" s="319">
        <v>1</v>
      </c>
      <c r="K61" s="319">
        <v>1</v>
      </c>
      <c r="L61" s="319">
        <v>1</v>
      </c>
      <c r="M61" s="9"/>
      <c r="N61" s="436">
        <v>1</v>
      </c>
      <c r="O61" s="319">
        <v>1</v>
      </c>
      <c r="P61" s="319">
        <v>1</v>
      </c>
      <c r="Q61" s="319">
        <v>1</v>
      </c>
      <c r="R61" s="319"/>
      <c r="S61" s="9"/>
      <c r="T61" s="436">
        <v>1</v>
      </c>
      <c r="U61" s="319">
        <v>1</v>
      </c>
      <c r="V61" s="319">
        <v>1</v>
      </c>
      <c r="W61" s="319"/>
      <c r="X61" s="319"/>
      <c r="Y61" s="9"/>
      <c r="Z61" s="9"/>
      <c r="AA61" s="9"/>
      <c r="AB61" s="9"/>
      <c r="AC61" s="9"/>
      <c r="AD61" s="9"/>
      <c r="BS61" s="78"/>
      <c r="BT61" s="294"/>
      <c r="BU61" s="295"/>
      <c r="BV61" s="78"/>
    </row>
    <row r="62" spans="1:74" x14ac:dyDescent="0.2">
      <c r="B62" s="436">
        <v>2</v>
      </c>
      <c r="C62" s="319">
        <v>1</v>
      </c>
      <c r="D62" s="319">
        <v>1</v>
      </c>
      <c r="E62" s="319">
        <v>1</v>
      </c>
      <c r="F62" s="319">
        <v>1</v>
      </c>
      <c r="G62" s="9"/>
      <c r="H62" s="436">
        <v>2</v>
      </c>
      <c r="I62" s="319">
        <v>1</v>
      </c>
      <c r="J62" s="319">
        <v>1</v>
      </c>
      <c r="K62" s="319">
        <v>1</v>
      </c>
      <c r="L62" s="319">
        <v>1</v>
      </c>
      <c r="M62" s="9"/>
      <c r="N62" s="436">
        <v>2</v>
      </c>
      <c r="O62" s="319">
        <v>1</v>
      </c>
      <c r="P62" s="319">
        <v>1</v>
      </c>
      <c r="Q62" s="319">
        <v>1</v>
      </c>
      <c r="R62" s="319"/>
      <c r="S62" s="9"/>
      <c r="T62" s="436">
        <v>2</v>
      </c>
      <c r="U62" s="319">
        <v>1</v>
      </c>
      <c r="V62" s="319">
        <v>1</v>
      </c>
      <c r="W62" s="319"/>
      <c r="X62" s="319"/>
      <c r="Y62" s="9"/>
      <c r="Z62" s="9"/>
      <c r="AA62" s="9"/>
      <c r="AB62" s="9"/>
      <c r="AC62" s="9"/>
      <c r="AD62" s="9"/>
      <c r="BS62" s="78"/>
      <c r="BT62" s="78"/>
      <c r="BU62" s="78"/>
      <c r="BV62" s="78"/>
    </row>
    <row r="63" spans="1:74" x14ac:dyDescent="0.2">
      <c r="B63" s="436">
        <v>3</v>
      </c>
      <c r="C63" s="319">
        <v>1</v>
      </c>
      <c r="D63" s="319">
        <v>1</v>
      </c>
      <c r="E63" s="319">
        <v>1</v>
      </c>
      <c r="F63" s="319">
        <v>1</v>
      </c>
      <c r="G63" s="9"/>
      <c r="H63" s="436">
        <v>3</v>
      </c>
      <c r="I63" s="319">
        <v>1</v>
      </c>
      <c r="J63" s="319">
        <v>1</v>
      </c>
      <c r="K63" s="319">
        <v>1</v>
      </c>
      <c r="L63" s="83">
        <v>1</v>
      </c>
      <c r="M63" s="9"/>
      <c r="N63" s="436">
        <v>3</v>
      </c>
      <c r="O63" s="319">
        <v>1</v>
      </c>
      <c r="P63" s="319">
        <v>1</v>
      </c>
      <c r="Q63" s="319">
        <v>1</v>
      </c>
      <c r="R63" s="319"/>
      <c r="S63" s="9"/>
      <c r="T63" s="436">
        <v>3</v>
      </c>
      <c r="U63" s="319">
        <v>1</v>
      </c>
      <c r="V63" s="319">
        <v>1</v>
      </c>
      <c r="W63" s="319"/>
      <c r="X63" s="319"/>
      <c r="Y63" s="321"/>
      <c r="Z63" s="9"/>
      <c r="AA63" s="9"/>
      <c r="AB63" s="9"/>
      <c r="AC63" s="9"/>
      <c r="AD63" s="9"/>
      <c r="BS63" s="78"/>
      <c r="BT63" s="297"/>
      <c r="BU63" s="298"/>
      <c r="BV63" s="78"/>
    </row>
    <row r="64" spans="1:74" x14ac:dyDescent="0.2">
      <c r="B64" s="436">
        <v>4</v>
      </c>
      <c r="C64" s="319">
        <v>1</v>
      </c>
      <c r="D64" s="319">
        <v>1</v>
      </c>
      <c r="E64" s="319">
        <v>1</v>
      </c>
      <c r="F64" s="319">
        <v>1</v>
      </c>
      <c r="G64" s="64"/>
      <c r="H64" s="436">
        <v>4</v>
      </c>
      <c r="I64" s="319">
        <v>1</v>
      </c>
      <c r="J64" s="319">
        <v>1</v>
      </c>
      <c r="K64" s="319">
        <v>1</v>
      </c>
      <c r="L64" s="83">
        <v>1</v>
      </c>
      <c r="M64" s="9"/>
      <c r="N64" s="436">
        <v>4</v>
      </c>
      <c r="O64" s="319">
        <v>1</v>
      </c>
      <c r="P64" s="319">
        <v>1</v>
      </c>
      <c r="Q64" s="319">
        <v>1</v>
      </c>
      <c r="R64" s="319"/>
      <c r="S64" s="9"/>
      <c r="T64" s="436">
        <v>4</v>
      </c>
      <c r="U64" s="319">
        <v>1</v>
      </c>
      <c r="V64" s="319">
        <v>1</v>
      </c>
      <c r="W64" s="319"/>
      <c r="X64" s="319"/>
      <c r="Y64" s="321"/>
      <c r="Z64" s="9"/>
      <c r="AA64" s="9"/>
      <c r="AB64" s="9"/>
      <c r="AC64" s="9"/>
      <c r="AD64" s="9"/>
      <c r="BS64" s="78"/>
      <c r="BT64" s="78"/>
      <c r="BU64" s="78"/>
      <c r="BV64" s="78"/>
    </row>
    <row r="65" spans="2:74" x14ac:dyDescent="0.2">
      <c r="B65" s="436">
        <v>5</v>
      </c>
      <c r="C65" s="319">
        <v>1</v>
      </c>
      <c r="D65" s="319">
        <v>1</v>
      </c>
      <c r="E65" s="319">
        <v>1</v>
      </c>
      <c r="F65" s="319">
        <v>1</v>
      </c>
      <c r="G65" s="64"/>
      <c r="H65" s="436">
        <v>5</v>
      </c>
      <c r="I65" s="319">
        <v>1</v>
      </c>
      <c r="J65" s="319">
        <v>1</v>
      </c>
      <c r="K65" s="83">
        <v>1</v>
      </c>
      <c r="L65" s="83">
        <v>1</v>
      </c>
      <c r="M65" s="9"/>
      <c r="N65" s="436">
        <v>5</v>
      </c>
      <c r="O65" s="319">
        <v>1</v>
      </c>
      <c r="P65" s="319">
        <v>1</v>
      </c>
      <c r="Q65" s="319">
        <v>1</v>
      </c>
      <c r="R65" s="319"/>
      <c r="S65" s="9"/>
      <c r="T65" s="436">
        <v>5</v>
      </c>
      <c r="U65" s="319">
        <v>1</v>
      </c>
      <c r="V65" s="319">
        <v>1</v>
      </c>
      <c r="W65" s="319"/>
      <c r="X65" s="319"/>
      <c r="Y65" s="321"/>
      <c r="Z65" s="9"/>
      <c r="AA65" s="9"/>
      <c r="AB65" s="9"/>
      <c r="AC65" s="9"/>
      <c r="AD65" s="9"/>
      <c r="BS65" s="78"/>
      <c r="BT65" s="78"/>
      <c r="BU65" s="78"/>
      <c r="BV65" s="78"/>
    </row>
    <row r="66" spans="2:74" x14ac:dyDescent="0.2">
      <c r="B66" s="436">
        <v>6</v>
      </c>
      <c r="C66" s="319">
        <v>1</v>
      </c>
      <c r="D66" s="319">
        <v>1</v>
      </c>
      <c r="E66" s="319">
        <v>1</v>
      </c>
      <c r="F66" s="319">
        <v>1</v>
      </c>
      <c r="G66" s="64"/>
      <c r="H66" s="436">
        <v>6</v>
      </c>
      <c r="I66" s="319">
        <v>1</v>
      </c>
      <c r="J66" s="319">
        <v>1</v>
      </c>
      <c r="K66" s="83">
        <v>1</v>
      </c>
      <c r="L66" s="83">
        <v>1</v>
      </c>
      <c r="M66" s="9"/>
      <c r="N66" s="436">
        <v>6</v>
      </c>
      <c r="O66" s="319">
        <v>1</v>
      </c>
      <c r="P66" s="319">
        <v>1</v>
      </c>
      <c r="Q66" s="319">
        <v>1</v>
      </c>
      <c r="R66" s="319"/>
      <c r="S66" s="9"/>
      <c r="T66" s="436">
        <v>6</v>
      </c>
      <c r="U66" s="319">
        <v>1</v>
      </c>
      <c r="V66" s="319">
        <v>1</v>
      </c>
      <c r="W66" s="319"/>
      <c r="X66" s="319"/>
      <c r="Y66" s="176"/>
      <c r="Z66" s="9"/>
      <c r="AA66" s="9"/>
      <c r="AB66" s="9"/>
      <c r="AC66" s="9"/>
      <c r="AD66" s="9"/>
      <c r="BS66" s="78"/>
      <c r="BT66" s="78"/>
      <c r="BU66" s="78"/>
      <c r="BV66" s="78"/>
    </row>
    <row r="67" spans="2:74" x14ac:dyDescent="0.2">
      <c r="B67" s="436">
        <v>7</v>
      </c>
      <c r="C67" s="319">
        <v>1</v>
      </c>
      <c r="D67" s="319">
        <v>1</v>
      </c>
      <c r="E67" s="319">
        <v>1</v>
      </c>
      <c r="F67" s="319">
        <v>1</v>
      </c>
      <c r="G67" s="64"/>
      <c r="H67" s="436">
        <v>7</v>
      </c>
      <c r="I67" s="319">
        <v>1</v>
      </c>
      <c r="J67" s="319">
        <v>1</v>
      </c>
      <c r="K67" s="83">
        <v>1</v>
      </c>
      <c r="L67" s="83"/>
      <c r="M67" s="9"/>
      <c r="N67" s="436">
        <v>7</v>
      </c>
      <c r="O67" s="319">
        <v>1</v>
      </c>
      <c r="P67" s="319">
        <v>1</v>
      </c>
      <c r="Q67" s="319">
        <v>1</v>
      </c>
      <c r="R67" s="319"/>
      <c r="S67" s="9"/>
      <c r="T67" s="436">
        <v>7</v>
      </c>
      <c r="U67" s="319">
        <v>1</v>
      </c>
      <c r="V67" s="319">
        <v>1</v>
      </c>
      <c r="W67" s="319"/>
      <c r="X67" s="319"/>
      <c r="Y67" s="176"/>
      <c r="Z67" s="9"/>
      <c r="AA67" s="9"/>
      <c r="AB67" s="9"/>
      <c r="AC67" s="9"/>
      <c r="AD67" s="9"/>
    </row>
    <row r="68" spans="2:74" x14ac:dyDescent="0.2">
      <c r="B68" s="436">
        <v>8</v>
      </c>
      <c r="C68" s="319">
        <v>1</v>
      </c>
      <c r="D68" s="319">
        <v>1</v>
      </c>
      <c r="E68" s="319">
        <v>1</v>
      </c>
      <c r="F68" s="319">
        <v>1</v>
      </c>
      <c r="G68" s="64"/>
      <c r="H68" s="436">
        <v>8</v>
      </c>
      <c r="I68" s="319">
        <v>1</v>
      </c>
      <c r="J68" s="319">
        <v>1</v>
      </c>
      <c r="K68" s="83">
        <v>1</v>
      </c>
      <c r="L68" s="83"/>
      <c r="M68" s="9"/>
      <c r="N68" s="398" t="s">
        <v>992</v>
      </c>
      <c r="O68" s="17">
        <f>COUNT(O61:O67)/7*100</f>
        <v>100</v>
      </c>
      <c r="P68" s="17">
        <f t="shared" ref="P68:R68" si="0">COUNT(P61:P67)/7*100</f>
        <v>100</v>
      </c>
      <c r="Q68" s="17">
        <f t="shared" si="0"/>
        <v>100</v>
      </c>
      <c r="R68" s="17">
        <f t="shared" si="0"/>
        <v>0</v>
      </c>
      <c r="S68" s="9"/>
      <c r="T68" s="398" t="s">
        <v>992</v>
      </c>
      <c r="U68" s="17">
        <f>COUNT(U61:U67)/7*100</f>
        <v>100</v>
      </c>
      <c r="V68" s="17">
        <f t="shared" ref="V68:X68" si="1">COUNT(V61:V67)/7*100</f>
        <v>100</v>
      </c>
      <c r="W68" s="17">
        <f t="shared" si="1"/>
        <v>0</v>
      </c>
      <c r="X68" s="17">
        <f t="shared" si="1"/>
        <v>0</v>
      </c>
      <c r="Y68" s="176"/>
      <c r="Z68" s="9"/>
      <c r="AA68" s="9"/>
      <c r="AB68" s="9"/>
      <c r="AC68" s="9"/>
      <c r="AD68" s="9"/>
    </row>
    <row r="69" spans="2:74" x14ac:dyDescent="0.2">
      <c r="B69" s="436">
        <v>9</v>
      </c>
      <c r="C69" s="319">
        <v>1</v>
      </c>
      <c r="D69" s="319">
        <v>1</v>
      </c>
      <c r="E69" s="319">
        <v>1</v>
      </c>
      <c r="F69" s="319"/>
      <c r="G69" s="64"/>
      <c r="H69" s="436">
        <v>9</v>
      </c>
      <c r="I69" s="319">
        <v>1</v>
      </c>
      <c r="J69" s="319">
        <v>1</v>
      </c>
      <c r="K69" s="83">
        <v>1</v>
      </c>
      <c r="L69" s="83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176"/>
      <c r="Z69" s="9"/>
      <c r="AA69" s="9"/>
      <c r="AB69" s="9"/>
      <c r="AC69" s="9"/>
      <c r="AD69" s="9"/>
    </row>
    <row r="70" spans="2:74" x14ac:dyDescent="0.2">
      <c r="B70" s="398" t="s">
        <v>992</v>
      </c>
      <c r="C70" s="83">
        <f>COUNT(C61:C69)/9*100</f>
        <v>100</v>
      </c>
      <c r="D70" s="83">
        <f t="shared" ref="D70:F70" si="2">COUNT(D61:D69)/9*100</f>
        <v>100</v>
      </c>
      <c r="E70" s="83">
        <f t="shared" si="2"/>
        <v>100</v>
      </c>
      <c r="F70" s="83">
        <f t="shared" si="2"/>
        <v>88.888888888888886</v>
      </c>
      <c r="G70" s="64"/>
      <c r="H70" s="436">
        <v>10</v>
      </c>
      <c r="I70" s="319">
        <v>1</v>
      </c>
      <c r="J70" s="83">
        <v>1</v>
      </c>
      <c r="K70" s="83"/>
      <c r="L70" s="83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176"/>
      <c r="Z70" s="9"/>
      <c r="AA70" s="9"/>
      <c r="AB70" s="9"/>
      <c r="AC70" s="9"/>
      <c r="AD70" s="9"/>
    </row>
    <row r="71" spans="2:74" x14ac:dyDescent="0.2">
      <c r="B71" s="9"/>
      <c r="C71" s="9"/>
      <c r="D71" s="9"/>
      <c r="E71" s="9"/>
      <c r="F71" s="9"/>
      <c r="G71" s="9"/>
      <c r="H71" s="436">
        <v>11</v>
      </c>
      <c r="I71" s="319">
        <v>1</v>
      </c>
      <c r="J71" s="17">
        <v>1</v>
      </c>
      <c r="K71" s="17"/>
      <c r="L71" s="17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64"/>
      <c r="Z71" s="9"/>
      <c r="AA71" s="9"/>
      <c r="AB71" s="9"/>
      <c r="AC71" s="9"/>
      <c r="AD71" s="9"/>
    </row>
    <row r="72" spans="2:74" x14ac:dyDescent="0.2">
      <c r="B72" s="9"/>
      <c r="C72" s="9"/>
      <c r="D72" s="9"/>
      <c r="E72" s="9"/>
      <c r="F72" s="9"/>
      <c r="G72" s="9"/>
      <c r="H72" s="436">
        <v>12</v>
      </c>
      <c r="I72" s="319"/>
      <c r="J72" s="103">
        <v>1</v>
      </c>
      <c r="K72" s="103"/>
      <c r="L72" s="103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21"/>
      <c r="Z72" s="9"/>
      <c r="AA72" s="9"/>
      <c r="AB72" s="9"/>
      <c r="AC72" s="9"/>
      <c r="AD72" s="9"/>
    </row>
    <row r="73" spans="2:74" x14ac:dyDescent="0.2">
      <c r="B73" s="9"/>
      <c r="C73" s="9"/>
      <c r="D73" s="9"/>
      <c r="E73" s="9"/>
      <c r="F73" s="9"/>
      <c r="G73" s="9"/>
      <c r="H73" s="436">
        <v>13</v>
      </c>
      <c r="I73" s="319"/>
      <c r="J73" s="17">
        <v>1</v>
      </c>
      <c r="K73" s="17"/>
      <c r="L73" s="17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</row>
    <row r="74" spans="2:74" x14ac:dyDescent="0.2">
      <c r="B74" s="9"/>
      <c r="C74" s="9"/>
      <c r="D74" s="9"/>
      <c r="E74" s="9"/>
      <c r="F74" s="9"/>
      <c r="G74" s="9"/>
      <c r="H74" s="436">
        <v>14</v>
      </c>
      <c r="I74" s="322"/>
      <c r="J74" s="322">
        <v>1</v>
      </c>
      <c r="K74" s="322"/>
      <c r="L74" s="322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68"/>
      <c r="Z74" s="9"/>
      <c r="AA74" s="9"/>
      <c r="AB74" s="9"/>
      <c r="AC74" s="9"/>
      <c r="AD74" s="9"/>
    </row>
    <row r="75" spans="2:74" x14ac:dyDescent="0.2">
      <c r="B75" s="9"/>
      <c r="C75" s="9"/>
      <c r="D75" s="9"/>
      <c r="E75" s="9"/>
      <c r="F75" s="9"/>
      <c r="G75" s="9"/>
      <c r="H75" s="398" t="s">
        <v>992</v>
      </c>
      <c r="I75" s="13">
        <f>COUNT(I61:I74)/14*100</f>
        <v>78.571428571428569</v>
      </c>
      <c r="J75" s="13">
        <f t="shared" ref="J75:L75" si="3">COUNT(J61:J74)/14*100</f>
        <v>100</v>
      </c>
      <c r="K75" s="13">
        <f t="shared" si="3"/>
        <v>64.285714285714292</v>
      </c>
      <c r="L75" s="13">
        <f t="shared" si="3"/>
        <v>42.857142857142854</v>
      </c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68"/>
      <c r="Z75" s="9"/>
      <c r="AA75" s="9"/>
      <c r="AB75" s="9"/>
      <c r="AC75" s="9"/>
      <c r="AD75" s="9"/>
    </row>
    <row r="76" spans="2:74" x14ac:dyDescent="0.2"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320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68"/>
      <c r="Z76" s="9"/>
      <c r="AA76" s="9"/>
      <c r="AB76" s="9"/>
      <c r="AC76" s="9"/>
      <c r="AD76" s="9"/>
    </row>
    <row r="77" spans="2:74" x14ac:dyDescent="0.2"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320"/>
      <c r="N77" s="9"/>
      <c r="O77" s="9"/>
      <c r="P77" s="9"/>
      <c r="Q77" s="9"/>
      <c r="R77" s="9"/>
      <c r="S77" s="320"/>
      <c r="T77" s="9"/>
      <c r="U77" s="9"/>
      <c r="V77" s="9"/>
      <c r="W77" s="9"/>
      <c r="X77" s="9"/>
      <c r="Y77" s="68"/>
      <c r="Z77" s="9"/>
      <c r="AA77" s="9"/>
      <c r="AB77" s="9"/>
      <c r="AC77" s="9"/>
      <c r="AD77" s="9"/>
    </row>
    <row r="78" spans="2:74" x14ac:dyDescent="0.2">
      <c r="B78" s="9"/>
      <c r="C78" s="52" t="s">
        <v>955</v>
      </c>
      <c r="D78" s="9"/>
      <c r="E78" s="137"/>
      <c r="F78" s="137"/>
      <c r="G78" s="9"/>
      <c r="H78" s="9"/>
      <c r="I78" s="52" t="s">
        <v>955</v>
      </c>
      <c r="J78" s="9"/>
      <c r="K78" s="137"/>
      <c r="L78" s="137"/>
      <c r="M78" s="320"/>
      <c r="N78" s="9"/>
      <c r="O78" s="52" t="s">
        <v>955</v>
      </c>
      <c r="P78" s="9"/>
      <c r="Q78" s="137"/>
      <c r="R78" s="137"/>
      <c r="S78" s="320"/>
      <c r="T78" s="9"/>
      <c r="U78" s="52" t="s">
        <v>955</v>
      </c>
      <c r="V78" s="9"/>
      <c r="W78" s="137"/>
      <c r="X78" s="137"/>
      <c r="Y78" s="68"/>
      <c r="Z78" s="9"/>
      <c r="AA78" s="9"/>
      <c r="AB78" s="9"/>
      <c r="AC78" s="9"/>
      <c r="AD78" s="9"/>
    </row>
    <row r="79" spans="2:74" x14ac:dyDescent="0.2">
      <c r="B79" s="175" t="s">
        <v>956</v>
      </c>
      <c r="C79" s="316" t="s">
        <v>298</v>
      </c>
      <c r="D79" s="316" t="s">
        <v>943</v>
      </c>
      <c r="E79" s="316" t="s">
        <v>944</v>
      </c>
      <c r="F79" s="316" t="s">
        <v>945</v>
      </c>
      <c r="G79" s="9"/>
      <c r="H79" s="175" t="s">
        <v>195</v>
      </c>
      <c r="I79" s="316" t="s">
        <v>298</v>
      </c>
      <c r="J79" s="316" t="s">
        <v>943</v>
      </c>
      <c r="K79" s="316" t="s">
        <v>944</v>
      </c>
      <c r="L79" s="316" t="s">
        <v>945</v>
      </c>
      <c r="M79" s="320"/>
      <c r="N79" s="175" t="s">
        <v>198</v>
      </c>
      <c r="O79" s="316" t="s">
        <v>298</v>
      </c>
      <c r="P79" s="316" t="s">
        <v>943</v>
      </c>
      <c r="Q79" s="316" t="s">
        <v>944</v>
      </c>
      <c r="R79" s="316" t="s">
        <v>945</v>
      </c>
      <c r="S79" s="9"/>
      <c r="T79" s="230" t="s">
        <v>201</v>
      </c>
      <c r="U79" s="316" t="s">
        <v>298</v>
      </c>
      <c r="V79" s="316" t="s">
        <v>943</v>
      </c>
      <c r="W79" s="316" t="s">
        <v>944</v>
      </c>
      <c r="X79" s="316" t="s">
        <v>945</v>
      </c>
      <c r="Y79" s="9"/>
      <c r="Z79" s="9"/>
      <c r="AA79" s="9"/>
      <c r="AB79" s="9"/>
      <c r="AC79" s="9"/>
      <c r="AD79" s="9"/>
    </row>
    <row r="80" spans="2:74" x14ac:dyDescent="0.2">
      <c r="B80" s="435" t="s">
        <v>957</v>
      </c>
      <c r="C80" s="318" t="s">
        <v>946</v>
      </c>
      <c r="D80" s="318" t="s">
        <v>946</v>
      </c>
      <c r="E80" s="318" t="s">
        <v>946</v>
      </c>
      <c r="F80" s="318" t="s">
        <v>946</v>
      </c>
      <c r="G80" s="9"/>
      <c r="H80" s="435" t="s">
        <v>957</v>
      </c>
      <c r="I80" s="318" t="s">
        <v>946</v>
      </c>
      <c r="J80" s="318" t="s">
        <v>946</v>
      </c>
      <c r="K80" s="318" t="s">
        <v>946</v>
      </c>
      <c r="L80" s="318" t="s">
        <v>946</v>
      </c>
      <c r="M80" s="320"/>
      <c r="N80" s="435" t="s">
        <v>957</v>
      </c>
      <c r="O80" s="318" t="s">
        <v>946</v>
      </c>
      <c r="P80" s="318" t="s">
        <v>946</v>
      </c>
      <c r="Q80" s="318" t="s">
        <v>946</v>
      </c>
      <c r="R80" s="318" t="s">
        <v>946</v>
      </c>
      <c r="S80" s="9"/>
      <c r="T80" s="435" t="s">
        <v>957</v>
      </c>
      <c r="U80" s="318" t="s">
        <v>946</v>
      </c>
      <c r="V80" s="318" t="s">
        <v>946</v>
      </c>
      <c r="W80" s="318" t="s">
        <v>946</v>
      </c>
      <c r="X80" s="318" t="s">
        <v>946</v>
      </c>
      <c r="Y80" s="9"/>
      <c r="Z80" s="9"/>
      <c r="AA80" s="9"/>
      <c r="AB80" s="9"/>
      <c r="AC80" s="9"/>
      <c r="AD80" s="9"/>
    </row>
    <row r="81" spans="2:30" x14ac:dyDescent="0.2">
      <c r="B81" s="161">
        <v>1</v>
      </c>
      <c r="C81" s="319">
        <v>1</v>
      </c>
      <c r="D81" s="319">
        <v>1</v>
      </c>
      <c r="E81" s="319">
        <v>1</v>
      </c>
      <c r="F81" s="319">
        <v>1</v>
      </c>
      <c r="G81" s="9"/>
      <c r="H81" s="436">
        <v>1</v>
      </c>
      <c r="I81" s="319">
        <v>1</v>
      </c>
      <c r="J81" s="319"/>
      <c r="K81" s="319"/>
      <c r="L81" s="319"/>
      <c r="M81" s="320"/>
      <c r="N81" s="436">
        <v>1</v>
      </c>
      <c r="O81" s="319">
        <v>1</v>
      </c>
      <c r="P81" s="319">
        <v>1</v>
      </c>
      <c r="Q81" s="319">
        <v>1</v>
      </c>
      <c r="R81" s="319">
        <v>1</v>
      </c>
      <c r="S81" s="9"/>
      <c r="T81" s="436">
        <v>1</v>
      </c>
      <c r="U81" s="319">
        <v>1</v>
      </c>
      <c r="V81" s="319">
        <v>1</v>
      </c>
      <c r="W81" s="319">
        <v>1</v>
      </c>
      <c r="X81" s="319">
        <v>1</v>
      </c>
      <c r="Y81" s="9"/>
      <c r="Z81" s="9"/>
      <c r="AA81" s="9"/>
      <c r="AB81" s="9"/>
      <c r="AC81" s="9"/>
      <c r="AD81" s="9"/>
    </row>
    <row r="82" spans="2:30" x14ac:dyDescent="0.2">
      <c r="B82" s="11">
        <v>2</v>
      </c>
      <c r="C82" s="319">
        <v>1</v>
      </c>
      <c r="D82" s="319">
        <v>1</v>
      </c>
      <c r="E82" s="319">
        <v>1</v>
      </c>
      <c r="F82" s="319">
        <v>1</v>
      </c>
      <c r="G82" s="9"/>
      <c r="H82" s="436">
        <v>2</v>
      </c>
      <c r="I82" s="319">
        <v>1</v>
      </c>
      <c r="J82" s="319"/>
      <c r="K82" s="319"/>
      <c r="L82" s="319"/>
      <c r="M82" s="320"/>
      <c r="N82" s="436">
        <v>2</v>
      </c>
      <c r="O82" s="319">
        <v>1</v>
      </c>
      <c r="P82" s="319">
        <v>1</v>
      </c>
      <c r="Q82" s="319">
        <v>1</v>
      </c>
      <c r="R82" s="319"/>
      <c r="S82" s="9"/>
      <c r="T82" s="436">
        <v>2</v>
      </c>
      <c r="U82" s="319">
        <v>1</v>
      </c>
      <c r="V82" s="319">
        <v>1</v>
      </c>
      <c r="W82" s="319">
        <v>1</v>
      </c>
      <c r="X82" s="319">
        <v>1</v>
      </c>
      <c r="Y82" s="9"/>
      <c r="Z82" s="9"/>
      <c r="AA82" s="9"/>
      <c r="AB82" s="9"/>
      <c r="AC82" s="9"/>
      <c r="AD82" s="9"/>
    </row>
    <row r="83" spans="2:30" x14ac:dyDescent="0.2">
      <c r="B83" s="161">
        <v>3</v>
      </c>
      <c r="C83" s="319">
        <v>1</v>
      </c>
      <c r="D83" s="319">
        <v>1</v>
      </c>
      <c r="E83" s="319">
        <v>1</v>
      </c>
      <c r="F83" s="319">
        <v>1</v>
      </c>
      <c r="G83" s="9"/>
      <c r="H83" s="436">
        <v>3</v>
      </c>
      <c r="I83" s="319">
        <v>1</v>
      </c>
      <c r="J83" s="319"/>
      <c r="K83" s="319"/>
      <c r="L83" s="319"/>
      <c r="M83" s="320"/>
      <c r="N83" s="436">
        <v>3</v>
      </c>
      <c r="O83" s="319">
        <v>1</v>
      </c>
      <c r="P83" s="319">
        <v>1</v>
      </c>
      <c r="Q83" s="319">
        <v>1</v>
      </c>
      <c r="R83" s="319"/>
      <c r="S83" s="9"/>
      <c r="T83" s="436">
        <v>3</v>
      </c>
      <c r="U83" s="319">
        <v>1</v>
      </c>
      <c r="V83" s="319">
        <v>1</v>
      </c>
      <c r="W83" s="319">
        <v>1</v>
      </c>
      <c r="X83" s="319">
        <v>1</v>
      </c>
      <c r="Y83" s="9"/>
      <c r="Z83" s="9"/>
      <c r="AA83" s="9"/>
      <c r="AB83" s="9"/>
      <c r="AC83" s="9"/>
      <c r="AD83" s="9"/>
    </row>
    <row r="84" spans="2:30" x14ac:dyDescent="0.2">
      <c r="B84" s="11">
        <v>4</v>
      </c>
      <c r="C84" s="319">
        <v>1</v>
      </c>
      <c r="D84" s="319">
        <v>1</v>
      </c>
      <c r="E84" s="319">
        <v>1</v>
      </c>
      <c r="F84" s="319">
        <v>1</v>
      </c>
      <c r="G84" s="9"/>
      <c r="H84" s="436">
        <v>4</v>
      </c>
      <c r="I84" s="319">
        <v>1</v>
      </c>
      <c r="J84" s="319"/>
      <c r="K84" s="319"/>
      <c r="L84" s="319"/>
      <c r="M84" s="320"/>
      <c r="N84" s="436">
        <v>4</v>
      </c>
      <c r="O84" s="319">
        <v>1</v>
      </c>
      <c r="P84" s="319">
        <v>1</v>
      </c>
      <c r="Q84" s="319">
        <v>1</v>
      </c>
      <c r="R84" s="319"/>
      <c r="S84" s="9"/>
      <c r="T84" s="436">
        <v>4</v>
      </c>
      <c r="U84" s="319">
        <v>1</v>
      </c>
      <c r="V84" s="319">
        <v>1</v>
      </c>
      <c r="W84" s="319">
        <v>1</v>
      </c>
      <c r="X84" s="319">
        <v>1</v>
      </c>
      <c r="Y84" s="9"/>
      <c r="Z84" s="9"/>
      <c r="AA84" s="9"/>
      <c r="AB84" s="9"/>
      <c r="AC84" s="9"/>
      <c r="AD84" s="9"/>
    </row>
    <row r="85" spans="2:30" x14ac:dyDescent="0.2">
      <c r="B85" s="161">
        <v>5</v>
      </c>
      <c r="C85" s="17">
        <v>1</v>
      </c>
      <c r="D85" s="319">
        <v>1</v>
      </c>
      <c r="E85" s="319">
        <v>1</v>
      </c>
      <c r="F85" s="319">
        <v>1</v>
      </c>
      <c r="G85" s="9"/>
      <c r="H85" s="436">
        <v>5</v>
      </c>
      <c r="I85" s="319">
        <v>1</v>
      </c>
      <c r="J85" s="319"/>
      <c r="K85" s="319"/>
      <c r="L85" s="319"/>
      <c r="M85" s="320"/>
      <c r="N85" s="436">
        <v>5</v>
      </c>
      <c r="O85" s="319">
        <v>1</v>
      </c>
      <c r="P85" s="319">
        <v>1</v>
      </c>
      <c r="Q85" s="319">
        <v>1</v>
      </c>
      <c r="R85" s="319"/>
      <c r="S85" s="9"/>
      <c r="T85" s="436">
        <v>5</v>
      </c>
      <c r="U85" s="319">
        <v>1</v>
      </c>
      <c r="V85" s="319">
        <v>1</v>
      </c>
      <c r="W85" s="319">
        <v>1</v>
      </c>
      <c r="X85" s="319">
        <v>1</v>
      </c>
      <c r="Y85" s="9"/>
      <c r="Z85" s="9"/>
      <c r="AA85" s="9"/>
      <c r="AB85" s="9"/>
      <c r="AC85" s="9"/>
      <c r="AD85" s="9"/>
    </row>
    <row r="86" spans="2:30" x14ac:dyDescent="0.2">
      <c r="B86" s="11">
        <v>6</v>
      </c>
      <c r="C86" s="17">
        <v>1</v>
      </c>
      <c r="D86" s="319">
        <v>1</v>
      </c>
      <c r="E86" s="319">
        <v>1</v>
      </c>
      <c r="F86" s="319">
        <v>1</v>
      </c>
      <c r="G86" s="9"/>
      <c r="H86" s="436">
        <v>6</v>
      </c>
      <c r="I86" s="319">
        <v>1</v>
      </c>
      <c r="J86" s="319"/>
      <c r="K86" s="319"/>
      <c r="L86" s="319"/>
      <c r="M86" s="9"/>
      <c r="N86" s="436">
        <v>6</v>
      </c>
      <c r="O86" s="319">
        <v>1</v>
      </c>
      <c r="P86" s="319">
        <v>1</v>
      </c>
      <c r="Q86" s="319">
        <v>1</v>
      </c>
      <c r="R86" s="319"/>
      <c r="S86" s="9"/>
      <c r="T86" s="436">
        <v>6</v>
      </c>
      <c r="U86" s="319">
        <v>1</v>
      </c>
      <c r="V86" s="319">
        <v>1</v>
      </c>
      <c r="W86" s="319">
        <v>1</v>
      </c>
      <c r="X86" s="319">
        <v>1</v>
      </c>
      <c r="Y86" s="9"/>
      <c r="Z86" s="9"/>
      <c r="AA86" s="9"/>
      <c r="AB86" s="9"/>
      <c r="AC86" s="9"/>
      <c r="AD86" s="9"/>
    </row>
    <row r="87" spans="2:30" x14ac:dyDescent="0.2">
      <c r="B87" s="161">
        <v>7</v>
      </c>
      <c r="C87" s="17">
        <v>1</v>
      </c>
      <c r="D87" s="319">
        <v>1</v>
      </c>
      <c r="E87" s="319">
        <v>1</v>
      </c>
      <c r="F87" s="319">
        <v>1</v>
      </c>
      <c r="G87" s="9"/>
      <c r="H87" s="436">
        <v>7</v>
      </c>
      <c r="I87" s="319">
        <v>1</v>
      </c>
      <c r="J87" s="319"/>
      <c r="K87" s="319"/>
      <c r="L87" s="319"/>
      <c r="M87" s="9"/>
      <c r="N87" s="436">
        <v>7</v>
      </c>
      <c r="O87" s="319">
        <v>1</v>
      </c>
      <c r="P87" s="319">
        <v>1</v>
      </c>
      <c r="Q87" s="83">
        <v>1</v>
      </c>
      <c r="R87" s="83"/>
      <c r="S87" s="9"/>
      <c r="T87" s="436">
        <v>7</v>
      </c>
      <c r="U87" s="319">
        <v>1</v>
      </c>
      <c r="V87" s="319">
        <v>1</v>
      </c>
      <c r="W87" s="319">
        <v>1</v>
      </c>
      <c r="X87" s="319">
        <v>1</v>
      </c>
      <c r="Y87" s="9"/>
      <c r="Z87" s="9"/>
      <c r="AA87" s="9"/>
      <c r="AB87" s="9"/>
      <c r="AC87" s="9"/>
      <c r="AD87" s="9"/>
    </row>
    <row r="88" spans="2:30" x14ac:dyDescent="0.2">
      <c r="B88" s="11">
        <v>8</v>
      </c>
      <c r="C88" s="319">
        <v>1</v>
      </c>
      <c r="D88" s="319">
        <v>1</v>
      </c>
      <c r="E88" s="319">
        <v>1</v>
      </c>
      <c r="F88" s="319">
        <v>1</v>
      </c>
      <c r="G88" s="9"/>
      <c r="H88" s="398" t="s">
        <v>992</v>
      </c>
      <c r="I88" s="17">
        <f>COUNT(I81:I87)/7*100</f>
        <v>100</v>
      </c>
      <c r="J88" s="17">
        <f t="shared" ref="J88:L88" si="4">COUNT(J81:J87)/7*100</f>
        <v>0</v>
      </c>
      <c r="K88" s="17">
        <f t="shared" si="4"/>
        <v>0</v>
      </c>
      <c r="L88" s="17">
        <f t="shared" si="4"/>
        <v>0</v>
      </c>
      <c r="M88" s="9"/>
      <c r="N88" s="436">
        <v>8</v>
      </c>
      <c r="O88" s="319">
        <v>1</v>
      </c>
      <c r="P88" s="319">
        <v>1</v>
      </c>
      <c r="Q88" s="83"/>
      <c r="R88" s="83"/>
      <c r="S88" s="9"/>
      <c r="T88" s="398" t="s">
        <v>992</v>
      </c>
      <c r="U88" s="17">
        <f>COUNT(U81:U87)/7*100</f>
        <v>100</v>
      </c>
      <c r="V88" s="17">
        <f t="shared" ref="V88:X88" si="5">COUNT(V81:V87)/7*100</f>
        <v>100</v>
      </c>
      <c r="W88" s="17">
        <f t="shared" si="5"/>
        <v>100</v>
      </c>
      <c r="X88" s="17">
        <f t="shared" si="5"/>
        <v>100</v>
      </c>
      <c r="Y88" s="9"/>
      <c r="Z88" s="9"/>
      <c r="AA88" s="9"/>
      <c r="AB88" s="9"/>
      <c r="AC88" s="9"/>
      <c r="AD88" s="9"/>
    </row>
    <row r="89" spans="2:30" x14ac:dyDescent="0.2">
      <c r="B89" s="161">
        <v>9</v>
      </c>
      <c r="C89" s="319">
        <v>1</v>
      </c>
      <c r="D89" s="319">
        <v>1</v>
      </c>
      <c r="E89" s="319">
        <v>1</v>
      </c>
      <c r="F89" s="319">
        <v>1</v>
      </c>
      <c r="G89" s="9"/>
      <c r="H89" s="9"/>
      <c r="I89" s="9"/>
      <c r="J89" s="9"/>
      <c r="K89" s="9"/>
      <c r="L89" s="9"/>
      <c r="M89" s="9"/>
      <c r="N89" s="436">
        <v>9</v>
      </c>
      <c r="O89" s="319">
        <v>1</v>
      </c>
      <c r="P89" s="319"/>
      <c r="Q89" s="83"/>
      <c r="R89" s="31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</row>
    <row r="90" spans="2:30" x14ac:dyDescent="0.2">
      <c r="B90" s="11">
        <v>10</v>
      </c>
      <c r="C90" s="319">
        <v>1</v>
      </c>
      <c r="D90" s="319">
        <v>1</v>
      </c>
      <c r="E90" s="319">
        <v>1</v>
      </c>
      <c r="F90" s="319">
        <v>1</v>
      </c>
      <c r="G90" s="9"/>
      <c r="H90" s="9"/>
      <c r="I90" s="9"/>
      <c r="J90" s="9"/>
      <c r="K90" s="9"/>
      <c r="L90" s="9"/>
      <c r="M90" s="9"/>
      <c r="N90" s="436">
        <v>10</v>
      </c>
      <c r="O90" s="319">
        <v>1</v>
      </c>
      <c r="P90" s="319"/>
      <c r="Q90" s="83"/>
      <c r="R90" s="31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</row>
    <row r="91" spans="2:30" x14ac:dyDescent="0.2">
      <c r="B91" s="161">
        <v>11</v>
      </c>
      <c r="C91" s="319">
        <v>1</v>
      </c>
      <c r="D91" s="319">
        <v>1</v>
      </c>
      <c r="E91" s="319">
        <v>1</v>
      </c>
      <c r="F91" s="319">
        <v>1</v>
      </c>
      <c r="G91" s="9"/>
      <c r="H91" s="9"/>
      <c r="I91" s="9"/>
      <c r="J91" s="9"/>
      <c r="K91" s="9"/>
      <c r="L91" s="9"/>
      <c r="M91" s="320"/>
      <c r="N91" s="398" t="s">
        <v>992</v>
      </c>
      <c r="O91" s="17">
        <f>COUNT(O81:O90)/10*100</f>
        <v>100</v>
      </c>
      <c r="P91" s="17">
        <f t="shared" ref="P91:R91" si="6">COUNT(P81:P90)/10*100</f>
        <v>80</v>
      </c>
      <c r="Q91" s="17">
        <f t="shared" si="6"/>
        <v>70</v>
      </c>
      <c r="R91" s="17">
        <f t="shared" si="6"/>
        <v>10</v>
      </c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</row>
    <row r="92" spans="2:30" x14ac:dyDescent="0.2">
      <c r="B92" s="11">
        <v>12</v>
      </c>
      <c r="C92" s="17">
        <v>1</v>
      </c>
      <c r="D92" s="319">
        <v>1</v>
      </c>
      <c r="E92" s="319">
        <v>1</v>
      </c>
      <c r="F92" s="319">
        <v>1</v>
      </c>
      <c r="G92" s="9"/>
      <c r="H92" s="9"/>
      <c r="I92" s="9"/>
      <c r="J92" s="9"/>
      <c r="K92" s="9"/>
      <c r="L92" s="9"/>
      <c r="M92" s="320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</row>
    <row r="93" spans="2:30" x14ac:dyDescent="0.2">
      <c r="B93" s="161">
        <v>13</v>
      </c>
      <c r="C93" s="17">
        <v>1</v>
      </c>
      <c r="D93" s="319">
        <v>1</v>
      </c>
      <c r="E93" s="319">
        <v>1</v>
      </c>
      <c r="F93" s="319"/>
      <c r="G93" s="9"/>
      <c r="H93" s="9"/>
      <c r="I93" s="9"/>
      <c r="J93" s="9"/>
      <c r="K93" s="9"/>
      <c r="L93" s="9"/>
      <c r="M93" s="320"/>
      <c r="N93" s="176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</row>
    <row r="94" spans="2:30" x14ac:dyDescent="0.2">
      <c r="B94" s="11">
        <v>14</v>
      </c>
      <c r="C94" s="17">
        <v>1</v>
      </c>
      <c r="D94" s="319">
        <v>1</v>
      </c>
      <c r="E94" s="319">
        <v>1</v>
      </c>
      <c r="F94" s="31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</row>
    <row r="95" spans="2:30" x14ac:dyDescent="0.2">
      <c r="B95" s="398" t="s">
        <v>992</v>
      </c>
      <c r="C95" s="17">
        <f>COUNT(C81:C94)/14*100</f>
        <v>100</v>
      </c>
      <c r="D95" s="17">
        <f t="shared" ref="D95:F95" si="7">COUNT(D81:D94)/14*100</f>
        <v>100</v>
      </c>
      <c r="E95" s="17">
        <f t="shared" si="7"/>
        <v>100</v>
      </c>
      <c r="F95" s="17">
        <f t="shared" si="7"/>
        <v>85.714285714285708</v>
      </c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</row>
    <row r="96" spans="2:30" x14ac:dyDescent="0.2">
      <c r="B96" s="100"/>
      <c r="C96" s="68"/>
      <c r="D96" s="68"/>
      <c r="E96" s="68"/>
      <c r="F96" s="68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</row>
    <row r="97" spans="2:30" x14ac:dyDescent="0.2"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</row>
    <row r="98" spans="2:30" x14ac:dyDescent="0.2">
      <c r="B98" s="9"/>
      <c r="C98" s="52" t="s">
        <v>955</v>
      </c>
      <c r="D98" s="9"/>
      <c r="E98" s="137"/>
      <c r="F98" s="137"/>
      <c r="G98" s="9"/>
      <c r="H98" s="9"/>
      <c r="I98" s="52" t="s">
        <v>955</v>
      </c>
      <c r="J98" s="9"/>
      <c r="K98" s="137"/>
      <c r="L98" s="137"/>
      <c r="M98" s="320"/>
      <c r="N98" s="9"/>
      <c r="O98" s="52" t="s">
        <v>955</v>
      </c>
      <c r="P98" s="9"/>
      <c r="Q98" s="137"/>
      <c r="R98" s="137"/>
      <c r="S98" s="9"/>
      <c r="T98" s="9"/>
      <c r="U98" s="52" t="s">
        <v>955</v>
      </c>
      <c r="V98" s="9"/>
      <c r="W98" s="137"/>
      <c r="X98" s="9"/>
      <c r="Y98" s="9"/>
      <c r="Z98" s="9"/>
      <c r="AA98" s="9"/>
      <c r="AB98" s="9"/>
      <c r="AC98" s="9"/>
      <c r="AD98" s="9"/>
    </row>
    <row r="99" spans="2:30" x14ac:dyDescent="0.2">
      <c r="B99" s="175" t="s">
        <v>958</v>
      </c>
      <c r="C99" s="316" t="s">
        <v>298</v>
      </c>
      <c r="D99" s="316" t="s">
        <v>943</v>
      </c>
      <c r="E99" s="316" t="s">
        <v>944</v>
      </c>
      <c r="F99" s="316" t="s">
        <v>945</v>
      </c>
      <c r="G99" s="9"/>
      <c r="H99" s="175" t="s">
        <v>196</v>
      </c>
      <c r="I99" s="316" t="s">
        <v>298</v>
      </c>
      <c r="J99" s="316" t="s">
        <v>943</v>
      </c>
      <c r="K99" s="316" t="s">
        <v>944</v>
      </c>
      <c r="L99" s="316" t="s">
        <v>945</v>
      </c>
      <c r="M99" s="320"/>
      <c r="N99" s="317" t="s">
        <v>199</v>
      </c>
      <c r="O99" s="316" t="s">
        <v>298</v>
      </c>
      <c r="P99" s="316" t="s">
        <v>943</v>
      </c>
      <c r="Q99" s="316" t="s">
        <v>944</v>
      </c>
      <c r="R99" s="316" t="s">
        <v>945</v>
      </c>
      <c r="S99" s="9"/>
      <c r="T99" s="317" t="s">
        <v>202</v>
      </c>
      <c r="U99" s="316" t="s">
        <v>298</v>
      </c>
      <c r="V99" s="316" t="s">
        <v>943</v>
      </c>
      <c r="W99" s="316" t="s">
        <v>944</v>
      </c>
      <c r="X99" s="316" t="s">
        <v>945</v>
      </c>
      <c r="Y99" s="9"/>
      <c r="Z99" s="9"/>
      <c r="AA99" s="9"/>
      <c r="AB99" s="9"/>
      <c r="AC99" s="9"/>
      <c r="AD99" s="9"/>
    </row>
    <row r="100" spans="2:30" x14ac:dyDescent="0.2">
      <c r="B100" s="435" t="s">
        <v>957</v>
      </c>
      <c r="C100" s="318" t="s">
        <v>946</v>
      </c>
      <c r="D100" s="318" t="s">
        <v>946</v>
      </c>
      <c r="E100" s="318" t="s">
        <v>946</v>
      </c>
      <c r="F100" s="318" t="s">
        <v>946</v>
      </c>
      <c r="G100" s="9"/>
      <c r="H100" s="437" t="s">
        <v>957</v>
      </c>
      <c r="I100" s="318" t="s">
        <v>946</v>
      </c>
      <c r="J100" s="318" t="s">
        <v>946</v>
      </c>
      <c r="K100" s="318" t="s">
        <v>946</v>
      </c>
      <c r="L100" s="318" t="s">
        <v>946</v>
      </c>
      <c r="M100" s="320"/>
      <c r="N100" s="437" t="s">
        <v>957</v>
      </c>
      <c r="O100" s="318" t="s">
        <v>946</v>
      </c>
      <c r="P100" s="318" t="s">
        <v>946</v>
      </c>
      <c r="Q100" s="318" t="s">
        <v>946</v>
      </c>
      <c r="R100" s="318" t="s">
        <v>946</v>
      </c>
      <c r="S100" s="9"/>
      <c r="T100" s="437" t="s">
        <v>957</v>
      </c>
      <c r="U100" s="318" t="s">
        <v>946</v>
      </c>
      <c r="V100" s="318" t="s">
        <v>946</v>
      </c>
      <c r="W100" s="318" t="s">
        <v>946</v>
      </c>
      <c r="X100" s="318" t="s">
        <v>946</v>
      </c>
      <c r="Y100" s="9"/>
      <c r="Z100" s="9"/>
      <c r="AA100" s="9"/>
      <c r="AB100" s="9"/>
      <c r="AC100" s="9"/>
      <c r="AD100" s="9"/>
    </row>
    <row r="101" spans="2:30" x14ac:dyDescent="0.2">
      <c r="B101" s="161">
        <v>1</v>
      </c>
      <c r="C101" s="319">
        <v>1</v>
      </c>
      <c r="D101" s="319">
        <v>1</v>
      </c>
      <c r="E101" s="319">
        <v>1</v>
      </c>
      <c r="F101" s="319">
        <v>1</v>
      </c>
      <c r="G101" s="9"/>
      <c r="H101" s="436">
        <v>1</v>
      </c>
      <c r="I101" s="319">
        <v>1</v>
      </c>
      <c r="J101" s="319">
        <v>1</v>
      </c>
      <c r="K101" s="319">
        <v>1</v>
      </c>
      <c r="L101" s="319">
        <v>1</v>
      </c>
      <c r="M101" s="320"/>
      <c r="N101" s="436">
        <v>1</v>
      </c>
      <c r="O101" s="319">
        <v>1</v>
      </c>
      <c r="P101" s="319"/>
      <c r="Q101" s="319"/>
      <c r="R101" s="319"/>
      <c r="S101" s="9"/>
      <c r="T101" s="436">
        <v>1</v>
      </c>
      <c r="U101" s="319">
        <v>1</v>
      </c>
      <c r="V101" s="319">
        <v>1</v>
      </c>
      <c r="W101" s="319"/>
      <c r="X101" s="319"/>
      <c r="Y101" s="9"/>
      <c r="Z101" s="9"/>
      <c r="AA101" s="9"/>
      <c r="AB101" s="9"/>
      <c r="AC101" s="9"/>
      <c r="AD101" s="9"/>
    </row>
    <row r="102" spans="2:30" x14ac:dyDescent="0.2">
      <c r="B102" s="11">
        <v>2</v>
      </c>
      <c r="C102" s="319">
        <v>1</v>
      </c>
      <c r="D102" s="319">
        <v>1</v>
      </c>
      <c r="E102" s="319">
        <v>1</v>
      </c>
      <c r="F102" s="319">
        <v>1</v>
      </c>
      <c r="G102" s="9"/>
      <c r="H102" s="436">
        <v>2</v>
      </c>
      <c r="I102" s="319">
        <v>1</v>
      </c>
      <c r="J102" s="319">
        <v>1</v>
      </c>
      <c r="K102" s="319">
        <v>1</v>
      </c>
      <c r="L102" s="319">
        <v>1</v>
      </c>
      <c r="M102" s="320"/>
      <c r="N102" s="436">
        <v>2</v>
      </c>
      <c r="O102" s="319">
        <v>1</v>
      </c>
      <c r="P102" s="319"/>
      <c r="Q102" s="319"/>
      <c r="R102" s="319"/>
      <c r="S102" s="9"/>
      <c r="T102" s="436">
        <v>2</v>
      </c>
      <c r="U102" s="319">
        <v>1</v>
      </c>
      <c r="V102" s="319">
        <v>1</v>
      </c>
      <c r="W102" s="319"/>
      <c r="X102" s="319"/>
      <c r="Y102" s="9"/>
      <c r="Z102" s="9"/>
      <c r="AA102" s="9"/>
      <c r="AB102" s="9"/>
      <c r="AC102" s="9"/>
      <c r="AD102" s="9"/>
    </row>
    <row r="103" spans="2:30" x14ac:dyDescent="0.2">
      <c r="B103" s="161">
        <v>3</v>
      </c>
      <c r="C103" s="319">
        <v>1</v>
      </c>
      <c r="D103" s="319">
        <v>1</v>
      </c>
      <c r="E103" s="319">
        <v>1</v>
      </c>
      <c r="F103" s="319">
        <v>1</v>
      </c>
      <c r="G103" s="9"/>
      <c r="H103" s="436">
        <v>3</v>
      </c>
      <c r="I103" s="319">
        <v>1</v>
      </c>
      <c r="J103" s="319">
        <v>1</v>
      </c>
      <c r="K103" s="319">
        <v>1</v>
      </c>
      <c r="L103" s="319">
        <v>1</v>
      </c>
      <c r="M103" s="323"/>
      <c r="N103" s="436">
        <v>3</v>
      </c>
      <c r="O103" s="319">
        <v>1</v>
      </c>
      <c r="P103" s="319"/>
      <c r="Q103" s="319"/>
      <c r="R103" s="319"/>
      <c r="S103" s="9"/>
      <c r="T103" s="436">
        <v>3</v>
      </c>
      <c r="U103" s="319">
        <v>1</v>
      </c>
      <c r="V103" s="319">
        <v>1</v>
      </c>
      <c r="W103" s="319"/>
      <c r="X103" s="319"/>
      <c r="Y103" s="9"/>
      <c r="Z103" s="9"/>
      <c r="AA103" s="9"/>
      <c r="AB103" s="9"/>
      <c r="AC103" s="9"/>
      <c r="AD103" s="9"/>
    </row>
    <row r="104" spans="2:30" x14ac:dyDescent="0.2">
      <c r="B104" s="11">
        <v>4</v>
      </c>
      <c r="C104" s="319">
        <v>1</v>
      </c>
      <c r="D104" s="319">
        <v>1</v>
      </c>
      <c r="E104" s="319">
        <v>1</v>
      </c>
      <c r="F104" s="319">
        <v>1</v>
      </c>
      <c r="G104" s="9"/>
      <c r="H104" s="436">
        <v>4</v>
      </c>
      <c r="I104" s="319">
        <v>1</v>
      </c>
      <c r="J104" s="319">
        <v>1</v>
      </c>
      <c r="K104" s="319">
        <v>1</v>
      </c>
      <c r="L104" s="319">
        <v>1</v>
      </c>
      <c r="M104" s="323"/>
      <c r="N104" s="436">
        <v>4</v>
      </c>
      <c r="O104" s="319">
        <v>1</v>
      </c>
      <c r="P104" s="319"/>
      <c r="Q104" s="319"/>
      <c r="R104" s="319"/>
      <c r="S104" s="64"/>
      <c r="T104" s="436">
        <v>4</v>
      </c>
      <c r="U104" s="319">
        <v>1</v>
      </c>
      <c r="V104" s="319">
        <v>1</v>
      </c>
      <c r="W104" s="319"/>
      <c r="X104" s="319"/>
      <c r="Y104" s="9"/>
      <c r="Z104" s="9"/>
      <c r="AA104" s="9"/>
      <c r="AB104" s="9"/>
      <c r="AC104" s="9"/>
      <c r="AD104" s="9"/>
    </row>
    <row r="105" spans="2:30" x14ac:dyDescent="0.2">
      <c r="B105" s="161">
        <v>5</v>
      </c>
      <c r="C105" s="319">
        <v>1</v>
      </c>
      <c r="D105" s="319">
        <v>1</v>
      </c>
      <c r="E105" s="319">
        <v>1</v>
      </c>
      <c r="F105" s="319">
        <v>1</v>
      </c>
      <c r="G105" s="9"/>
      <c r="H105" s="436">
        <v>5</v>
      </c>
      <c r="I105" s="319">
        <v>1</v>
      </c>
      <c r="J105" s="319">
        <v>1</v>
      </c>
      <c r="K105" s="319">
        <v>1</v>
      </c>
      <c r="L105" s="319">
        <v>1</v>
      </c>
      <c r="M105" s="324"/>
      <c r="N105" s="436">
        <v>5</v>
      </c>
      <c r="O105" s="319">
        <v>1</v>
      </c>
      <c r="P105" s="319"/>
      <c r="Q105" s="319"/>
      <c r="R105" s="319"/>
      <c r="S105" s="9"/>
      <c r="T105" s="436">
        <v>5</v>
      </c>
      <c r="U105" s="319">
        <v>1</v>
      </c>
      <c r="V105" s="319">
        <v>1</v>
      </c>
      <c r="W105" s="319"/>
      <c r="X105" s="319"/>
      <c r="Y105" s="9"/>
      <c r="Z105" s="9"/>
      <c r="AA105" s="9"/>
      <c r="AB105" s="9"/>
      <c r="AC105" s="9"/>
      <c r="AD105" s="9"/>
    </row>
    <row r="106" spans="2:30" x14ac:dyDescent="0.2">
      <c r="B106" s="11">
        <v>6</v>
      </c>
      <c r="C106" s="319">
        <v>1</v>
      </c>
      <c r="D106" s="319">
        <v>1</v>
      </c>
      <c r="E106" s="319">
        <v>1</v>
      </c>
      <c r="F106" s="319">
        <v>1</v>
      </c>
      <c r="G106" s="9"/>
      <c r="H106" s="436">
        <v>6</v>
      </c>
      <c r="I106" s="319">
        <v>1</v>
      </c>
      <c r="J106" s="319">
        <v>1</v>
      </c>
      <c r="K106" s="319">
        <v>1</v>
      </c>
      <c r="L106" s="319">
        <v>1</v>
      </c>
      <c r="M106" s="324"/>
      <c r="N106" s="436">
        <v>6</v>
      </c>
      <c r="O106" s="319">
        <v>1</v>
      </c>
      <c r="P106" s="319"/>
      <c r="Q106" s="319"/>
      <c r="R106" s="319"/>
      <c r="S106" s="216"/>
      <c r="T106" s="436">
        <v>6</v>
      </c>
      <c r="U106" s="319">
        <v>1</v>
      </c>
      <c r="V106" s="319">
        <v>1</v>
      </c>
      <c r="W106" s="319"/>
      <c r="X106" s="319"/>
      <c r="Y106" s="9"/>
      <c r="Z106" s="9"/>
      <c r="AA106" s="9"/>
      <c r="AB106" s="9"/>
      <c r="AC106" s="9"/>
      <c r="AD106" s="9"/>
    </row>
    <row r="107" spans="2:30" x14ac:dyDescent="0.2">
      <c r="B107" s="161">
        <v>7</v>
      </c>
      <c r="C107" s="319">
        <v>1</v>
      </c>
      <c r="D107" s="319">
        <v>1</v>
      </c>
      <c r="E107" s="319">
        <v>1</v>
      </c>
      <c r="F107" s="319">
        <v>1</v>
      </c>
      <c r="G107" s="9"/>
      <c r="H107" s="436">
        <v>7</v>
      </c>
      <c r="I107" s="319">
        <v>1</v>
      </c>
      <c r="J107" s="319">
        <v>1</v>
      </c>
      <c r="K107" s="319">
        <v>1</v>
      </c>
      <c r="L107" s="319">
        <v>1</v>
      </c>
      <c r="M107" s="324"/>
      <c r="N107" s="436">
        <v>7</v>
      </c>
      <c r="O107" s="319">
        <v>1</v>
      </c>
      <c r="P107" s="319"/>
      <c r="Q107" s="319"/>
      <c r="R107" s="319"/>
      <c r="S107" s="216"/>
      <c r="T107" s="436">
        <v>7</v>
      </c>
      <c r="U107" s="319">
        <v>1</v>
      </c>
      <c r="V107" s="319">
        <v>1</v>
      </c>
      <c r="W107" s="319"/>
      <c r="X107" s="319"/>
      <c r="Y107" s="9"/>
      <c r="Z107" s="9"/>
      <c r="AA107" s="9"/>
      <c r="AB107" s="9"/>
      <c r="AC107" s="9"/>
      <c r="AD107" s="9"/>
    </row>
    <row r="108" spans="2:30" x14ac:dyDescent="0.2">
      <c r="B108" s="11">
        <v>8</v>
      </c>
      <c r="C108" s="319">
        <v>1</v>
      </c>
      <c r="D108" s="319">
        <v>1</v>
      </c>
      <c r="E108" s="319">
        <v>1</v>
      </c>
      <c r="F108" s="319">
        <v>1</v>
      </c>
      <c r="G108" s="9"/>
      <c r="H108" s="398" t="s">
        <v>992</v>
      </c>
      <c r="I108" s="17">
        <f>COUNT(I101:I107)/7*100</f>
        <v>100</v>
      </c>
      <c r="J108" s="17">
        <f t="shared" ref="J108:L108" si="8">COUNT(J101:J107)/7*100</f>
        <v>100</v>
      </c>
      <c r="K108" s="17">
        <f t="shared" si="8"/>
        <v>100</v>
      </c>
      <c r="L108" s="17">
        <f t="shared" si="8"/>
        <v>100</v>
      </c>
      <c r="M108" s="9"/>
      <c r="N108" s="398" t="s">
        <v>992</v>
      </c>
      <c r="O108" s="17">
        <f>COUNT(O101:O107)/7*100</f>
        <v>100</v>
      </c>
      <c r="P108" s="17">
        <f t="shared" ref="P108:R108" si="9">COUNT(P101:P107)/7*100</f>
        <v>0</v>
      </c>
      <c r="Q108" s="17">
        <f t="shared" si="9"/>
        <v>0</v>
      </c>
      <c r="R108" s="17">
        <f t="shared" si="9"/>
        <v>0</v>
      </c>
      <c r="S108" s="216"/>
      <c r="T108" s="398" t="s">
        <v>992</v>
      </c>
      <c r="U108" s="17">
        <f>COUNT(U101:U107)/7*100</f>
        <v>100</v>
      </c>
      <c r="V108" s="17">
        <f t="shared" ref="V108:X108" si="10">COUNT(V101:V107)/7*100</f>
        <v>100</v>
      </c>
      <c r="W108" s="17">
        <f t="shared" si="10"/>
        <v>0</v>
      </c>
      <c r="X108" s="17">
        <f t="shared" si="10"/>
        <v>0</v>
      </c>
      <c r="Y108" s="9"/>
      <c r="Z108" s="9"/>
      <c r="AA108" s="9"/>
      <c r="AB108" s="9"/>
      <c r="AC108" s="9"/>
      <c r="AD108" s="9"/>
    </row>
    <row r="109" spans="2:30" x14ac:dyDescent="0.2">
      <c r="B109" s="161">
        <v>9</v>
      </c>
      <c r="C109" s="319">
        <v>1</v>
      </c>
      <c r="D109" s="319">
        <v>1</v>
      </c>
      <c r="E109" s="319">
        <v>1</v>
      </c>
      <c r="F109" s="319">
        <v>1</v>
      </c>
      <c r="G109" s="9"/>
      <c r="H109" s="9"/>
      <c r="I109" s="9"/>
      <c r="J109" s="9"/>
      <c r="K109" s="9"/>
      <c r="L109" s="9"/>
      <c r="M109" s="9"/>
      <c r="N109" s="143"/>
      <c r="O109" s="64"/>
      <c r="P109" s="325"/>
      <c r="Q109" s="325"/>
      <c r="R109" s="325"/>
      <c r="S109" s="325"/>
      <c r="T109" s="64"/>
      <c r="U109" s="325"/>
      <c r="V109" s="325"/>
      <c r="W109" s="325"/>
      <c r="X109" s="321"/>
      <c r="Y109" s="9"/>
      <c r="Z109" s="9"/>
      <c r="AA109" s="9"/>
      <c r="AB109" s="9"/>
      <c r="AC109" s="9"/>
      <c r="AD109" s="9"/>
    </row>
    <row r="110" spans="2:30" x14ac:dyDescent="0.2">
      <c r="B110" s="11">
        <v>10</v>
      </c>
      <c r="C110" s="319">
        <v>1</v>
      </c>
      <c r="D110" s="319">
        <v>1</v>
      </c>
      <c r="E110" s="319">
        <v>1</v>
      </c>
      <c r="F110" s="319">
        <v>1</v>
      </c>
      <c r="G110" s="320"/>
      <c r="H110" s="9"/>
      <c r="I110" s="9"/>
      <c r="J110" s="9"/>
      <c r="K110" s="9"/>
      <c r="L110" s="9"/>
      <c r="M110" s="320"/>
      <c r="N110" s="64"/>
      <c r="O110" s="325"/>
      <c r="P110" s="325"/>
      <c r="Q110" s="325"/>
      <c r="R110" s="325"/>
      <c r="S110" s="9"/>
      <c r="T110" s="176"/>
      <c r="U110" s="321"/>
      <c r="V110" s="321"/>
      <c r="W110" s="321"/>
      <c r="X110" s="176"/>
      <c r="Y110" s="9"/>
      <c r="Z110" s="9"/>
      <c r="AA110" s="9"/>
      <c r="AB110" s="9"/>
      <c r="AC110" s="9"/>
      <c r="AD110" s="9"/>
    </row>
    <row r="111" spans="2:30" x14ac:dyDescent="0.2">
      <c r="B111" s="161">
        <v>11</v>
      </c>
      <c r="C111" s="319">
        <v>1</v>
      </c>
      <c r="D111" s="326">
        <v>1</v>
      </c>
      <c r="E111" s="319">
        <v>1</v>
      </c>
      <c r="F111" s="17">
        <v>1</v>
      </c>
      <c r="G111" s="320"/>
      <c r="H111" s="9"/>
      <c r="I111" s="9"/>
      <c r="J111" s="9"/>
      <c r="K111" s="9"/>
      <c r="L111" s="9"/>
      <c r="M111" s="320"/>
      <c r="N111" s="176"/>
      <c r="O111" s="321"/>
      <c r="P111" s="321"/>
      <c r="Q111" s="321"/>
      <c r="R111" s="321"/>
      <c r="S111" s="320"/>
      <c r="T111" s="176"/>
      <c r="U111" s="321"/>
      <c r="V111" s="321"/>
      <c r="W111" s="321"/>
      <c r="X111" s="176"/>
      <c r="Y111" s="9"/>
      <c r="Z111" s="9"/>
      <c r="AA111" s="9"/>
      <c r="AB111" s="9"/>
      <c r="AC111" s="9"/>
      <c r="AD111" s="9"/>
    </row>
    <row r="112" spans="2:30" x14ac:dyDescent="0.2">
      <c r="B112" s="11">
        <v>12</v>
      </c>
      <c r="C112" s="319">
        <v>1</v>
      </c>
      <c r="D112" s="319">
        <v>1</v>
      </c>
      <c r="E112" s="319">
        <v>1</v>
      </c>
      <c r="F112" s="17">
        <v>1</v>
      </c>
      <c r="G112" s="320"/>
      <c r="H112" s="9"/>
      <c r="I112" s="9"/>
      <c r="J112" s="9"/>
      <c r="K112" s="9"/>
      <c r="L112" s="9"/>
      <c r="M112" s="320"/>
      <c r="N112" s="176"/>
      <c r="O112" s="321"/>
      <c r="P112" s="321"/>
      <c r="Q112" s="321"/>
      <c r="R112" s="176"/>
      <c r="S112" s="320"/>
      <c r="T112" s="176"/>
      <c r="U112" s="321"/>
      <c r="V112" s="321"/>
      <c r="W112" s="321"/>
      <c r="X112" s="176"/>
      <c r="Y112" s="9"/>
      <c r="Z112" s="9"/>
      <c r="AA112" s="9"/>
      <c r="AB112" s="9"/>
      <c r="AC112" s="9"/>
      <c r="AD112" s="9"/>
    </row>
    <row r="113" spans="1:30" x14ac:dyDescent="0.2">
      <c r="B113" s="161">
        <v>13</v>
      </c>
      <c r="C113" s="319">
        <v>1</v>
      </c>
      <c r="D113" s="319">
        <v>1</v>
      </c>
      <c r="E113" s="319">
        <v>1</v>
      </c>
      <c r="F113" s="319">
        <v>1</v>
      </c>
      <c r="G113" s="320"/>
      <c r="H113" s="9"/>
      <c r="I113" s="9"/>
      <c r="J113" s="337"/>
      <c r="K113" s="42"/>
      <c r="L113" s="42"/>
      <c r="M113" s="42"/>
      <c r="N113" s="176"/>
      <c r="O113" s="42"/>
      <c r="P113" s="42"/>
      <c r="Q113" s="42"/>
      <c r="R113" s="42"/>
      <c r="S113" s="42"/>
      <c r="T113" s="42"/>
      <c r="U113" s="9"/>
      <c r="V113" s="9"/>
      <c r="W113" s="9"/>
      <c r="X113" s="176"/>
      <c r="Y113" s="9"/>
      <c r="Z113" s="9"/>
      <c r="AA113" s="9"/>
      <c r="AB113" s="9"/>
      <c r="AC113" s="9"/>
      <c r="AD113" s="9"/>
    </row>
    <row r="114" spans="1:30" x14ac:dyDescent="0.2">
      <c r="B114" s="11">
        <v>14</v>
      </c>
      <c r="C114" s="319">
        <v>1</v>
      </c>
      <c r="D114" s="319">
        <v>1</v>
      </c>
      <c r="E114" s="319">
        <v>1</v>
      </c>
      <c r="F114" s="319">
        <v>1</v>
      </c>
      <c r="G114" s="320"/>
      <c r="H114" s="9"/>
      <c r="I114" s="9"/>
      <c r="J114" s="321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9"/>
      <c r="V114" s="9"/>
      <c r="W114" s="9"/>
      <c r="X114" s="176"/>
      <c r="Y114" s="9"/>
      <c r="Z114" s="9"/>
      <c r="AA114" s="9"/>
      <c r="AB114" s="9"/>
      <c r="AC114" s="9"/>
      <c r="AD114" s="9"/>
    </row>
    <row r="115" spans="1:30" x14ac:dyDescent="0.2">
      <c r="B115" s="161">
        <v>15</v>
      </c>
      <c r="C115" s="319"/>
      <c r="D115" s="319">
        <v>1</v>
      </c>
      <c r="E115" s="319">
        <v>1</v>
      </c>
      <c r="F115" s="319"/>
      <c r="G115" s="320"/>
      <c r="H115" s="9"/>
      <c r="I115" s="9"/>
      <c r="J115" s="42"/>
      <c r="K115" s="42"/>
      <c r="L115" s="42"/>
      <c r="M115" s="42"/>
      <c r="N115" s="42"/>
      <c r="O115" s="42"/>
      <c r="P115" s="42"/>
      <c r="Q115" s="321"/>
      <c r="R115" s="321"/>
      <c r="S115" s="42"/>
      <c r="T115" s="42"/>
      <c r="U115" s="9"/>
      <c r="V115" s="9"/>
      <c r="W115" s="9"/>
      <c r="X115" s="176"/>
      <c r="Y115" s="9"/>
      <c r="Z115" s="9"/>
      <c r="AA115" s="9"/>
      <c r="AB115" s="9"/>
      <c r="AC115" s="9"/>
      <c r="AD115" s="9"/>
    </row>
    <row r="116" spans="1:30" x14ac:dyDescent="0.2">
      <c r="B116" s="11">
        <v>16</v>
      </c>
      <c r="C116" s="319"/>
      <c r="D116" s="322">
        <v>1</v>
      </c>
      <c r="E116" s="322">
        <v>1</v>
      </c>
      <c r="F116" s="17"/>
      <c r="G116" s="320"/>
      <c r="H116" s="9"/>
      <c r="I116" s="9"/>
      <c r="J116" s="42"/>
      <c r="K116" s="42"/>
      <c r="L116" s="42"/>
      <c r="M116" s="42"/>
      <c r="N116" s="42"/>
      <c r="O116" s="42"/>
      <c r="P116" s="42"/>
      <c r="Q116" s="321"/>
      <c r="R116" s="176"/>
      <c r="S116" s="42"/>
      <c r="T116" s="42"/>
      <c r="U116" s="9"/>
      <c r="V116" s="9"/>
      <c r="W116" s="9"/>
      <c r="X116" s="176"/>
      <c r="Y116" s="9"/>
      <c r="Z116" s="9"/>
      <c r="AA116" s="9"/>
      <c r="AB116" s="9"/>
      <c r="AC116" s="9"/>
      <c r="AD116" s="9"/>
    </row>
    <row r="117" spans="1:30" x14ac:dyDescent="0.2">
      <c r="B117" s="398" t="s">
        <v>992</v>
      </c>
      <c r="C117" s="17">
        <f>COUNT(C101:C116)/16*100</f>
        <v>87.5</v>
      </c>
      <c r="D117" s="17">
        <f>COUNT(D101:D116)/16*100</f>
        <v>100</v>
      </c>
      <c r="E117" s="17">
        <f>COUNT(E101:E116)/16*100</f>
        <v>100</v>
      </c>
      <c r="F117" s="17">
        <f>COUNT(F101:F116)/16*100</f>
        <v>87.5</v>
      </c>
      <c r="G117" s="320"/>
      <c r="H117" s="9"/>
      <c r="I117" s="9"/>
      <c r="J117" s="42"/>
      <c r="K117" s="42"/>
      <c r="L117" s="42"/>
      <c r="M117" s="42"/>
      <c r="N117" s="42"/>
      <c r="O117" s="42"/>
      <c r="P117" s="42"/>
      <c r="Q117" s="321"/>
      <c r="R117" s="176"/>
      <c r="S117" s="42"/>
      <c r="T117" s="42"/>
      <c r="U117" s="9"/>
      <c r="V117" s="9"/>
      <c r="W117" s="9"/>
      <c r="X117" s="64"/>
      <c r="Y117" s="9"/>
      <c r="Z117" s="9"/>
      <c r="AA117" s="9"/>
      <c r="AB117" s="9"/>
      <c r="AC117" s="9"/>
      <c r="AD117" s="9"/>
    </row>
    <row r="118" spans="1:30" x14ac:dyDescent="0.2">
      <c r="B118" s="9"/>
      <c r="C118" s="9"/>
      <c r="D118" s="9"/>
      <c r="E118" s="9"/>
      <c r="F118" s="9"/>
      <c r="G118" s="320"/>
      <c r="H118" s="9"/>
      <c r="I118" s="9"/>
      <c r="J118" s="42"/>
      <c r="K118" s="42"/>
      <c r="L118" s="42"/>
      <c r="M118" s="42"/>
      <c r="N118" s="338"/>
      <c r="O118" s="338"/>
      <c r="P118" s="42"/>
      <c r="Q118" s="321"/>
      <c r="R118" s="176"/>
      <c r="S118" s="338"/>
      <c r="T118" s="176"/>
      <c r="U118" s="321"/>
      <c r="V118" s="321"/>
      <c r="W118" s="176"/>
      <c r="X118" s="21"/>
      <c r="Y118" s="9"/>
      <c r="Z118" s="9"/>
      <c r="AA118" s="9"/>
      <c r="AB118" s="9"/>
      <c r="AC118" s="9"/>
      <c r="AD118" s="9"/>
    </row>
    <row r="119" spans="1:30" x14ac:dyDescent="0.2">
      <c r="A119" s="9"/>
      <c r="B119" s="9"/>
      <c r="C119" s="9"/>
      <c r="D119" s="9"/>
      <c r="E119" s="9"/>
      <c r="F119" s="320"/>
      <c r="G119" s="9"/>
      <c r="H119" s="9"/>
      <c r="I119" s="42"/>
      <c r="J119" s="42"/>
      <c r="K119" s="42"/>
      <c r="L119" s="42"/>
      <c r="M119" s="176"/>
      <c r="N119" s="321"/>
      <c r="O119" s="321"/>
      <c r="P119" s="176"/>
      <c r="Q119" s="176"/>
      <c r="R119" s="338"/>
      <c r="S119" s="176"/>
      <c r="T119" s="321"/>
      <c r="U119" s="176"/>
      <c r="V119" s="176"/>
      <c r="W119" s="21"/>
      <c r="X119" s="9"/>
      <c r="Y119" s="9"/>
      <c r="Z119" s="9"/>
      <c r="AA119" s="9"/>
      <c r="AB119" s="9"/>
      <c r="AC119" s="9"/>
      <c r="AD119" s="9"/>
    </row>
    <row r="120" spans="1:30" x14ac:dyDescent="0.2">
      <c r="B120" s="9"/>
      <c r="C120" s="52" t="s">
        <v>955</v>
      </c>
      <c r="D120" s="9"/>
      <c r="E120" s="137"/>
      <c r="F120" s="137"/>
      <c r="G120" s="9"/>
      <c r="H120" s="9"/>
      <c r="I120" s="42"/>
      <c r="J120" s="42"/>
      <c r="K120" s="42"/>
      <c r="L120" s="42"/>
      <c r="M120" s="21"/>
      <c r="N120" s="64"/>
      <c r="O120" s="64"/>
      <c r="P120" s="64"/>
      <c r="Q120" s="64"/>
      <c r="R120" s="42"/>
      <c r="S120" s="21"/>
      <c r="T120" s="64"/>
      <c r="U120" s="64"/>
      <c r="V120" s="64"/>
      <c r="W120" s="21"/>
      <c r="X120" s="9"/>
      <c r="Y120" s="9"/>
      <c r="Z120" s="9"/>
      <c r="AA120" s="9"/>
      <c r="AB120" s="9"/>
      <c r="AC120" s="9"/>
      <c r="AD120" s="9"/>
    </row>
    <row r="121" spans="1:30" x14ac:dyDescent="0.2">
      <c r="B121" s="175" t="s">
        <v>959</v>
      </c>
      <c r="C121" s="316" t="s">
        <v>298</v>
      </c>
      <c r="D121" s="316" t="s">
        <v>943</v>
      </c>
      <c r="E121" s="316" t="s">
        <v>944</v>
      </c>
      <c r="F121" s="316" t="s">
        <v>945</v>
      </c>
      <c r="G121" s="9"/>
      <c r="H121" s="9"/>
      <c r="I121" s="42"/>
      <c r="J121" s="42"/>
      <c r="K121" s="42"/>
      <c r="L121" s="42"/>
      <c r="M121" s="64"/>
      <c r="N121" s="21"/>
      <c r="O121" s="21"/>
      <c r="P121" s="21"/>
      <c r="Q121" s="21"/>
      <c r="R121" s="42"/>
      <c r="S121" s="64"/>
      <c r="T121" s="21"/>
      <c r="U121" s="21"/>
      <c r="V121" s="21"/>
      <c r="W121" s="325"/>
      <c r="X121" s="9"/>
      <c r="Y121" s="9"/>
      <c r="Z121" s="9"/>
      <c r="AA121" s="9"/>
      <c r="AB121" s="9"/>
      <c r="AC121" s="9"/>
      <c r="AD121" s="9"/>
    </row>
    <row r="122" spans="1:30" x14ac:dyDescent="0.2">
      <c r="B122" s="435" t="s">
        <v>957</v>
      </c>
      <c r="C122" s="318" t="s">
        <v>946</v>
      </c>
      <c r="D122" s="318" t="s">
        <v>946</v>
      </c>
      <c r="E122" s="318" t="s">
        <v>946</v>
      </c>
      <c r="F122" s="318" t="s">
        <v>946</v>
      </c>
      <c r="G122" s="9"/>
      <c r="H122" s="9"/>
      <c r="I122" s="337"/>
      <c r="J122" s="42"/>
      <c r="K122" s="42"/>
      <c r="L122" s="42"/>
      <c r="M122" s="176"/>
      <c r="N122" s="42"/>
      <c r="O122" s="42"/>
      <c r="P122" s="42"/>
      <c r="Q122" s="42"/>
      <c r="R122" s="42"/>
      <c r="S122" s="64"/>
      <c r="T122" s="21"/>
      <c r="U122" s="64"/>
      <c r="V122" s="21"/>
      <c r="W122" s="321"/>
      <c r="X122" s="9"/>
      <c r="Y122" s="9"/>
      <c r="Z122" s="9"/>
      <c r="AA122" s="9"/>
      <c r="AB122" s="9"/>
      <c r="AC122" s="9"/>
      <c r="AD122" s="9"/>
    </row>
    <row r="123" spans="1:30" x14ac:dyDescent="0.2">
      <c r="B123" s="161">
        <v>1</v>
      </c>
      <c r="C123" s="319">
        <v>1</v>
      </c>
      <c r="D123" s="319">
        <v>1</v>
      </c>
      <c r="E123" s="319">
        <v>1</v>
      </c>
      <c r="F123" s="319">
        <v>1</v>
      </c>
      <c r="G123" s="9"/>
      <c r="H123" s="9"/>
      <c r="I123" s="321"/>
      <c r="J123" s="42"/>
      <c r="K123" s="42"/>
      <c r="L123" s="64"/>
      <c r="M123" s="42"/>
      <c r="N123" s="42"/>
      <c r="O123" s="42"/>
      <c r="P123" s="42"/>
      <c r="Q123" s="42"/>
      <c r="R123" s="42"/>
      <c r="S123" s="143"/>
      <c r="T123" s="21"/>
      <c r="U123" s="21"/>
      <c r="V123" s="21"/>
      <c r="W123" s="321"/>
      <c r="X123" s="9"/>
      <c r="Y123" s="9"/>
      <c r="Z123" s="9"/>
      <c r="AA123" s="9"/>
      <c r="AB123" s="9"/>
      <c r="AC123" s="9"/>
      <c r="AD123" s="9"/>
    </row>
    <row r="124" spans="1:30" x14ac:dyDescent="0.2">
      <c r="B124" s="11">
        <v>2</v>
      </c>
      <c r="C124" s="319">
        <v>1</v>
      </c>
      <c r="D124" s="319">
        <v>1</v>
      </c>
      <c r="E124" s="319">
        <v>1</v>
      </c>
      <c r="F124" s="319">
        <v>1</v>
      </c>
      <c r="G124" s="9"/>
      <c r="H124" s="9"/>
      <c r="I124" s="42"/>
      <c r="J124" s="42"/>
      <c r="K124" s="42"/>
      <c r="L124" s="64"/>
      <c r="M124" s="42"/>
      <c r="N124" s="42"/>
      <c r="O124" s="42"/>
      <c r="P124" s="42"/>
      <c r="Q124" s="42"/>
      <c r="R124" s="42"/>
      <c r="S124" s="64"/>
      <c r="T124" s="325"/>
      <c r="U124" s="325"/>
      <c r="V124" s="325"/>
      <c r="W124" s="176"/>
      <c r="X124" s="9"/>
      <c r="Y124" s="9"/>
      <c r="Z124" s="9"/>
      <c r="AA124" s="9"/>
      <c r="AB124" s="9"/>
      <c r="AC124" s="9"/>
      <c r="AD124" s="9"/>
    </row>
    <row r="125" spans="1:30" x14ac:dyDescent="0.2">
      <c r="B125" s="161">
        <v>3</v>
      </c>
      <c r="C125" s="319">
        <v>1</v>
      </c>
      <c r="D125" s="319">
        <v>1</v>
      </c>
      <c r="E125" s="319">
        <v>1</v>
      </c>
      <c r="F125" s="319">
        <v>1</v>
      </c>
      <c r="G125" s="9"/>
      <c r="H125" s="9"/>
      <c r="I125" s="42"/>
      <c r="J125" s="42"/>
      <c r="K125" s="42"/>
      <c r="L125" s="64"/>
      <c r="M125" s="42"/>
      <c r="N125" s="42"/>
      <c r="O125" s="42"/>
      <c r="P125" s="42"/>
      <c r="Q125" s="42"/>
      <c r="R125" s="42"/>
      <c r="S125" s="176"/>
      <c r="T125" s="321"/>
      <c r="U125" s="321"/>
      <c r="V125" s="321"/>
      <c r="W125" s="176"/>
      <c r="X125" s="9"/>
      <c r="Y125" s="9"/>
      <c r="Z125" s="9"/>
      <c r="AA125" s="9"/>
      <c r="AB125" s="9"/>
      <c r="AC125" s="9"/>
      <c r="AD125" s="9"/>
    </row>
    <row r="126" spans="1:30" x14ac:dyDescent="0.2">
      <c r="B126" s="11">
        <v>4</v>
      </c>
      <c r="C126" s="319">
        <v>1</v>
      </c>
      <c r="D126" s="319">
        <v>1</v>
      </c>
      <c r="E126" s="319">
        <v>1</v>
      </c>
      <c r="F126" s="319">
        <v>1</v>
      </c>
      <c r="G126" s="9"/>
      <c r="H126" s="9"/>
      <c r="I126" s="42"/>
      <c r="J126" s="42"/>
      <c r="K126" s="42"/>
      <c r="L126" s="64"/>
      <c r="M126" s="42"/>
      <c r="N126" s="42"/>
      <c r="O126" s="42"/>
      <c r="P126" s="42"/>
      <c r="Q126" s="42"/>
      <c r="R126" s="42"/>
      <c r="S126" s="176"/>
      <c r="T126" s="321"/>
      <c r="U126" s="321"/>
      <c r="V126" s="321"/>
      <c r="W126" s="176"/>
      <c r="X126" s="9"/>
      <c r="Y126" s="9"/>
      <c r="Z126" s="9"/>
      <c r="AA126" s="9"/>
      <c r="AB126" s="9"/>
      <c r="AC126" s="9"/>
      <c r="AD126" s="9"/>
    </row>
    <row r="127" spans="1:30" x14ac:dyDescent="0.2">
      <c r="B127" s="161">
        <v>5</v>
      </c>
      <c r="C127" s="319">
        <v>1</v>
      </c>
      <c r="D127" s="319">
        <v>1</v>
      </c>
      <c r="E127" s="319">
        <v>1</v>
      </c>
      <c r="F127" s="319">
        <v>1</v>
      </c>
      <c r="G127" s="9"/>
      <c r="H127" s="9"/>
      <c r="I127" s="42"/>
      <c r="J127" s="42"/>
      <c r="K127" s="42"/>
      <c r="L127" s="64"/>
      <c r="M127" s="42"/>
      <c r="N127" s="42"/>
      <c r="O127" s="42"/>
      <c r="P127" s="42"/>
      <c r="Q127" s="42"/>
      <c r="R127" s="137"/>
      <c r="S127" s="176"/>
      <c r="T127" s="321"/>
      <c r="U127" s="321"/>
      <c r="V127" s="321"/>
      <c r="W127" s="176"/>
      <c r="X127" s="9"/>
      <c r="Y127" s="9"/>
      <c r="Z127" s="9"/>
      <c r="AA127" s="9"/>
      <c r="AB127" s="9"/>
      <c r="AC127" s="9"/>
      <c r="AD127" s="9"/>
    </row>
    <row r="128" spans="1:30" x14ac:dyDescent="0.2">
      <c r="B128" s="11">
        <v>6</v>
      </c>
      <c r="C128" s="319">
        <v>1</v>
      </c>
      <c r="D128" s="319">
        <v>1</v>
      </c>
      <c r="E128" s="319">
        <v>1</v>
      </c>
      <c r="F128" s="319">
        <v>1</v>
      </c>
      <c r="G128" s="9"/>
      <c r="H128" s="9"/>
      <c r="I128" s="9"/>
      <c r="J128" s="9"/>
      <c r="K128" s="9"/>
      <c r="L128" s="320"/>
      <c r="M128" s="176"/>
      <c r="N128" s="321"/>
      <c r="O128" s="321"/>
      <c r="P128" s="321"/>
      <c r="Q128" s="321"/>
      <c r="R128" s="320"/>
      <c r="S128" s="176"/>
      <c r="T128" s="321"/>
      <c r="U128" s="321"/>
      <c r="V128" s="176"/>
      <c r="W128" s="176"/>
      <c r="X128" s="9"/>
      <c r="Y128" s="9"/>
      <c r="Z128" s="9"/>
      <c r="AA128" s="9"/>
      <c r="AB128" s="9"/>
      <c r="AC128" s="9"/>
      <c r="AD128" s="9"/>
    </row>
    <row r="129" spans="1:30" x14ac:dyDescent="0.2">
      <c r="B129" s="161">
        <v>7</v>
      </c>
      <c r="C129" s="319">
        <v>1</v>
      </c>
      <c r="D129" s="319">
        <v>1</v>
      </c>
      <c r="E129" s="319">
        <v>1</v>
      </c>
      <c r="F129" s="319">
        <v>1</v>
      </c>
      <c r="G129" s="9"/>
      <c r="H129" s="9"/>
      <c r="I129" s="9"/>
      <c r="J129" s="9"/>
      <c r="K129" s="9"/>
      <c r="L129" s="320"/>
      <c r="M129" s="176"/>
      <c r="N129" s="321"/>
      <c r="O129" s="321"/>
      <c r="P129" s="321"/>
      <c r="Q129" s="176"/>
      <c r="R129" s="320"/>
      <c r="S129" s="176"/>
      <c r="T129" s="321"/>
      <c r="U129" s="321"/>
      <c r="V129" s="176"/>
      <c r="W129" s="176"/>
      <c r="X129" s="9"/>
      <c r="Y129" s="9"/>
      <c r="Z129" s="9"/>
      <c r="AA129" s="9"/>
      <c r="AB129" s="9"/>
      <c r="AC129" s="9"/>
      <c r="AD129" s="9"/>
    </row>
    <row r="130" spans="1:30" x14ac:dyDescent="0.2">
      <c r="B130" s="11">
        <v>8</v>
      </c>
      <c r="C130" s="319">
        <v>1</v>
      </c>
      <c r="D130" s="319">
        <v>1</v>
      </c>
      <c r="E130" s="319">
        <v>1</v>
      </c>
      <c r="F130" s="319">
        <v>1</v>
      </c>
      <c r="G130" s="9"/>
      <c r="H130" s="9"/>
      <c r="I130" s="9"/>
      <c r="J130" s="9"/>
      <c r="K130" s="9"/>
      <c r="L130" s="9"/>
      <c r="M130" s="176"/>
      <c r="N130" s="321"/>
      <c r="O130" s="321"/>
      <c r="P130" s="321"/>
      <c r="Q130" s="176"/>
      <c r="R130" s="320"/>
      <c r="S130" s="176"/>
      <c r="T130" s="321"/>
      <c r="U130" s="321"/>
      <c r="V130" s="176"/>
      <c r="W130" s="176"/>
      <c r="X130" s="9"/>
      <c r="Y130" s="9"/>
      <c r="Z130" s="9"/>
      <c r="AA130" s="9"/>
      <c r="AB130" s="9"/>
      <c r="AC130" s="9"/>
      <c r="AD130" s="9"/>
    </row>
    <row r="131" spans="1:30" x14ac:dyDescent="0.2">
      <c r="B131" s="161">
        <v>9</v>
      </c>
      <c r="C131" s="319">
        <v>1</v>
      </c>
      <c r="D131" s="319">
        <v>1</v>
      </c>
      <c r="E131" s="319">
        <v>1</v>
      </c>
      <c r="F131" s="319">
        <v>1</v>
      </c>
      <c r="G131" s="9"/>
      <c r="H131" s="9"/>
      <c r="I131" s="9"/>
      <c r="J131" s="9"/>
      <c r="K131" s="9"/>
      <c r="L131" s="9"/>
      <c r="M131" s="176"/>
      <c r="N131" s="321"/>
      <c r="O131" s="321"/>
      <c r="P131" s="321"/>
      <c r="Q131" s="176"/>
      <c r="R131" s="320"/>
      <c r="S131" s="176"/>
      <c r="T131" s="321"/>
      <c r="U131" s="321"/>
      <c r="V131" s="176"/>
      <c r="W131" s="176"/>
      <c r="X131" s="9"/>
      <c r="Y131" s="9"/>
      <c r="Z131" s="9"/>
      <c r="AA131" s="9"/>
      <c r="AB131" s="9"/>
      <c r="AC131" s="9"/>
      <c r="AD131" s="9"/>
    </row>
    <row r="132" spans="1:30" x14ac:dyDescent="0.2">
      <c r="B132" s="11">
        <v>10</v>
      </c>
      <c r="C132" s="319">
        <v>1</v>
      </c>
      <c r="D132" s="319">
        <v>1</v>
      </c>
      <c r="E132" s="319">
        <v>1</v>
      </c>
      <c r="F132" s="319">
        <v>1</v>
      </c>
      <c r="G132" s="9"/>
      <c r="H132" s="9"/>
      <c r="I132" s="68"/>
      <c r="J132" s="68"/>
      <c r="K132" s="68"/>
      <c r="L132" s="68"/>
      <c r="M132" s="176"/>
      <c r="N132" s="321"/>
      <c r="O132" s="321"/>
      <c r="P132" s="176"/>
      <c r="Q132" s="176"/>
      <c r="R132" s="320"/>
      <c r="S132" s="176"/>
      <c r="T132" s="321"/>
      <c r="U132" s="321"/>
      <c r="V132" s="176"/>
      <c r="W132" s="64"/>
      <c r="X132" s="9"/>
      <c r="Y132" s="9"/>
      <c r="Z132" s="9"/>
      <c r="AA132" s="9"/>
      <c r="AB132" s="9"/>
      <c r="AC132" s="9"/>
      <c r="AD132" s="9"/>
    </row>
    <row r="133" spans="1:30" x14ac:dyDescent="0.2">
      <c r="B133" s="161">
        <v>11</v>
      </c>
      <c r="C133" s="319">
        <v>1</v>
      </c>
      <c r="D133" s="319">
        <v>1</v>
      </c>
      <c r="E133" s="319">
        <v>1</v>
      </c>
      <c r="F133" s="319">
        <v>1</v>
      </c>
      <c r="G133" s="9"/>
      <c r="H133" s="9"/>
      <c r="I133" s="9"/>
      <c r="J133" s="9"/>
      <c r="K133" s="9"/>
      <c r="L133" s="9"/>
      <c r="M133" s="176"/>
      <c r="N133" s="321"/>
      <c r="O133" s="321"/>
      <c r="P133" s="176"/>
      <c r="Q133" s="176"/>
      <c r="R133" s="320"/>
      <c r="S133" s="176"/>
      <c r="T133" s="321"/>
      <c r="U133" s="321"/>
      <c r="V133" s="176"/>
      <c r="W133" s="21"/>
      <c r="X133" s="9"/>
      <c r="Y133" s="9"/>
      <c r="Z133" s="9"/>
      <c r="AA133" s="9"/>
      <c r="AB133" s="9"/>
      <c r="AC133" s="9"/>
      <c r="AD133" s="9"/>
    </row>
    <row r="134" spans="1:30" x14ac:dyDescent="0.2">
      <c r="B134" s="11">
        <v>12</v>
      </c>
      <c r="C134" s="319">
        <v>1</v>
      </c>
      <c r="D134" s="319">
        <v>1</v>
      </c>
      <c r="E134" s="319">
        <v>1</v>
      </c>
      <c r="F134" s="319">
        <v>1</v>
      </c>
      <c r="G134" s="9"/>
      <c r="H134" s="9"/>
      <c r="I134" s="9"/>
      <c r="J134" s="9"/>
      <c r="K134" s="9"/>
      <c r="L134" s="9"/>
      <c r="M134" s="176"/>
      <c r="N134" s="321"/>
      <c r="O134" s="321"/>
      <c r="P134" s="176"/>
      <c r="Q134" s="176"/>
      <c r="R134" s="320"/>
      <c r="S134" s="176"/>
      <c r="T134" s="321"/>
      <c r="U134" s="176"/>
      <c r="V134" s="176"/>
      <c r="W134" s="64"/>
      <c r="X134" s="9"/>
      <c r="Y134" s="9"/>
      <c r="Z134" s="9"/>
      <c r="AA134" s="9"/>
      <c r="AB134" s="9"/>
      <c r="AC134" s="9"/>
      <c r="AD134" s="9"/>
    </row>
    <row r="135" spans="1:30" x14ac:dyDescent="0.2">
      <c r="B135" s="398" t="s">
        <v>992</v>
      </c>
      <c r="C135" s="17">
        <f>COUNT(C123:C134)/12*100</f>
        <v>100</v>
      </c>
      <c r="D135" s="17">
        <f>COUNT(D123:D134)/12*100</f>
        <v>100</v>
      </c>
      <c r="E135" s="17">
        <f>COUNT(E123:E134)/12*100</f>
        <v>100</v>
      </c>
      <c r="F135" s="17">
        <f>COUNT(F123:F134)/12*100</f>
        <v>100</v>
      </c>
      <c r="G135" s="9"/>
      <c r="H135" s="9"/>
      <c r="I135" s="9"/>
      <c r="J135" s="9"/>
      <c r="K135" s="9"/>
      <c r="L135" s="9"/>
      <c r="M135" s="21"/>
      <c r="N135" s="64"/>
      <c r="O135" s="64"/>
      <c r="P135" s="64"/>
      <c r="Q135" s="64"/>
      <c r="R135" s="9"/>
      <c r="S135" s="21"/>
      <c r="T135" s="64"/>
      <c r="U135" s="64"/>
      <c r="V135" s="64"/>
      <c r="W135" s="64"/>
      <c r="X135" s="9"/>
      <c r="Y135" s="9"/>
      <c r="Z135" s="9"/>
      <c r="AA135" s="9"/>
      <c r="AB135" s="9"/>
      <c r="AC135" s="9"/>
      <c r="AD135" s="9"/>
    </row>
    <row r="136" spans="1:30" x14ac:dyDescent="0.2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64"/>
      <c r="N136" s="21"/>
      <c r="O136" s="21"/>
      <c r="P136" s="21"/>
      <c r="Q136" s="21"/>
      <c r="R136" s="9"/>
      <c r="S136" s="64"/>
      <c r="T136" s="21"/>
      <c r="U136" s="21"/>
      <c r="V136" s="21"/>
      <c r="W136" s="64"/>
      <c r="X136" s="9"/>
      <c r="Y136" s="9"/>
      <c r="Z136" s="9"/>
      <c r="AA136" s="9"/>
      <c r="AB136" s="9"/>
      <c r="AC136" s="9"/>
      <c r="AD136" s="9"/>
    </row>
    <row r="137" spans="1:30" x14ac:dyDescent="0.2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21"/>
      <c r="N137" s="64"/>
      <c r="O137" s="64"/>
      <c r="P137" s="64"/>
      <c r="Q137" s="64"/>
      <c r="R137" s="9"/>
      <c r="S137" s="21"/>
      <c r="T137" s="64"/>
      <c r="U137" s="64"/>
      <c r="V137" s="64"/>
      <c r="W137" s="64"/>
      <c r="X137" s="9"/>
      <c r="Y137" s="9"/>
      <c r="Z137" s="9"/>
      <c r="AA137" s="9"/>
      <c r="AB137" s="9"/>
      <c r="AC137" s="9"/>
      <c r="AD137" s="9"/>
    </row>
    <row r="138" spans="1:30" x14ac:dyDescent="0.2">
      <c r="B138" s="9"/>
      <c r="C138" s="52" t="s">
        <v>955</v>
      </c>
      <c r="D138" s="9"/>
      <c r="E138" s="137"/>
      <c r="F138" s="137"/>
      <c r="G138" s="9"/>
      <c r="H138" s="9"/>
      <c r="I138" s="9"/>
      <c r="J138" s="9"/>
      <c r="K138" s="9"/>
      <c r="L138" s="137"/>
      <c r="M138" s="289"/>
      <c r="N138" s="64"/>
      <c r="O138" s="64"/>
      <c r="P138" s="64"/>
      <c r="Q138" s="64"/>
      <c r="R138" s="9"/>
      <c r="S138" s="64"/>
      <c r="T138" s="64"/>
      <c r="U138" s="64"/>
      <c r="V138" s="64"/>
      <c r="W138" s="64"/>
      <c r="X138" s="215"/>
      <c r="Y138" s="9"/>
      <c r="Z138" s="9"/>
      <c r="AA138" s="9"/>
      <c r="AB138" s="9"/>
      <c r="AC138" s="9"/>
      <c r="AD138" s="9"/>
    </row>
    <row r="139" spans="1:30" x14ac:dyDescent="0.2">
      <c r="B139" s="175" t="s">
        <v>960</v>
      </c>
      <c r="C139" s="316" t="s">
        <v>298</v>
      </c>
      <c r="D139" s="316" t="s">
        <v>943</v>
      </c>
      <c r="E139" s="316" t="s">
        <v>944</v>
      </c>
      <c r="F139" s="316" t="s">
        <v>945</v>
      </c>
      <c r="G139" s="64"/>
      <c r="H139" s="64"/>
      <c r="I139" s="64"/>
      <c r="J139" s="64"/>
      <c r="K139" s="64"/>
      <c r="L139" s="9"/>
      <c r="M139" s="64"/>
      <c r="N139" s="64"/>
      <c r="O139" s="64"/>
      <c r="P139" s="64"/>
      <c r="Q139" s="64"/>
      <c r="R139" s="9"/>
      <c r="S139" s="64"/>
      <c r="T139" s="64"/>
      <c r="U139" s="64"/>
      <c r="V139" s="64"/>
      <c r="W139" s="106"/>
      <c r="X139" s="215"/>
      <c r="Y139" s="9"/>
      <c r="Z139" s="9"/>
      <c r="AA139" s="9"/>
      <c r="AB139" s="9"/>
      <c r="AC139" s="9"/>
      <c r="AD139" s="9"/>
    </row>
    <row r="140" spans="1:30" x14ac:dyDescent="0.2">
      <c r="B140" s="435" t="s">
        <v>957</v>
      </c>
      <c r="C140" s="318" t="s">
        <v>946</v>
      </c>
      <c r="D140" s="318" t="s">
        <v>946</v>
      </c>
      <c r="E140" s="318" t="s">
        <v>946</v>
      </c>
      <c r="F140" s="318" t="s">
        <v>946</v>
      </c>
      <c r="G140" s="321"/>
      <c r="H140" s="321"/>
      <c r="I140" s="321"/>
      <c r="J140" s="321"/>
      <c r="K140" s="321"/>
      <c r="L140" s="9"/>
      <c r="M140" s="64"/>
      <c r="N140" s="64"/>
      <c r="O140" s="64"/>
      <c r="P140" s="64"/>
      <c r="Q140" s="64"/>
      <c r="R140" s="9"/>
      <c r="S140" s="64"/>
      <c r="T140" s="64"/>
      <c r="U140" s="64"/>
      <c r="V140" s="64"/>
      <c r="W140" s="64"/>
      <c r="X140" s="9"/>
      <c r="Y140" s="9"/>
      <c r="Z140" s="9"/>
      <c r="AA140" s="9"/>
      <c r="AB140" s="9"/>
      <c r="AC140" s="9"/>
      <c r="AD140" s="9"/>
    </row>
    <row r="141" spans="1:30" x14ac:dyDescent="0.2">
      <c r="B141" s="161">
        <v>1</v>
      </c>
      <c r="C141" s="319">
        <v>1</v>
      </c>
      <c r="D141" s="319">
        <v>1</v>
      </c>
      <c r="E141" s="319">
        <v>1</v>
      </c>
      <c r="F141" s="319">
        <v>1</v>
      </c>
      <c r="G141" s="321"/>
      <c r="H141" s="321"/>
      <c r="I141" s="321"/>
      <c r="J141" s="321"/>
      <c r="K141" s="64"/>
      <c r="L141" s="9"/>
      <c r="M141" s="64"/>
      <c r="N141" s="64"/>
      <c r="O141" s="64"/>
      <c r="P141" s="64"/>
      <c r="Q141" s="64"/>
      <c r="R141" s="64"/>
      <c r="S141" s="64"/>
      <c r="T141" s="64"/>
      <c r="U141" s="64"/>
      <c r="V141" s="64"/>
      <c r="W141" s="106"/>
      <c r="X141" s="215"/>
      <c r="Y141" s="9"/>
      <c r="Z141" s="9"/>
      <c r="AA141" s="9"/>
      <c r="AB141" s="9"/>
      <c r="AC141" s="9"/>
      <c r="AD141" s="9"/>
    </row>
    <row r="142" spans="1:30" x14ac:dyDescent="0.2">
      <c r="B142" s="11">
        <v>2</v>
      </c>
      <c r="C142" s="319">
        <v>1</v>
      </c>
      <c r="D142" s="319">
        <v>1</v>
      </c>
      <c r="E142" s="319">
        <v>1</v>
      </c>
      <c r="F142" s="319">
        <v>1</v>
      </c>
      <c r="G142" s="321"/>
      <c r="H142" s="321"/>
      <c r="I142" s="321"/>
      <c r="J142" s="321"/>
      <c r="K142" s="64"/>
      <c r="L142" s="9"/>
      <c r="M142" s="64"/>
      <c r="N142" s="64"/>
      <c r="O142" s="64"/>
      <c r="P142" s="64"/>
      <c r="Q142" s="106"/>
      <c r="R142" s="106"/>
      <c r="S142" s="64"/>
      <c r="T142" s="106"/>
      <c r="U142" s="106"/>
      <c r="V142" s="106"/>
      <c r="W142" s="106"/>
      <c r="X142" s="327"/>
      <c r="Y142" s="9"/>
      <c r="Z142" s="9"/>
      <c r="AA142" s="9"/>
      <c r="AB142" s="9"/>
      <c r="AC142" s="9"/>
      <c r="AD142" s="9"/>
    </row>
    <row r="143" spans="1:30" x14ac:dyDescent="0.2">
      <c r="B143" s="161">
        <v>3</v>
      </c>
      <c r="C143" s="319">
        <v>1</v>
      </c>
      <c r="D143" s="319">
        <v>1</v>
      </c>
      <c r="E143" s="319">
        <v>1</v>
      </c>
      <c r="F143" s="319">
        <v>1</v>
      </c>
      <c r="G143" s="321"/>
      <c r="H143" s="321"/>
      <c r="I143" s="321"/>
      <c r="J143" s="321"/>
      <c r="K143" s="64"/>
      <c r="L143" s="9"/>
      <c r="M143" s="64"/>
      <c r="N143" s="64"/>
      <c r="O143" s="64"/>
      <c r="P143" s="64"/>
      <c r="Q143" s="64"/>
      <c r="R143" s="64"/>
      <c r="S143" s="64"/>
      <c r="T143" s="64"/>
      <c r="U143" s="64"/>
      <c r="V143" s="64"/>
      <c r="W143" s="64"/>
      <c r="X143" s="9"/>
      <c r="Y143" s="9"/>
      <c r="Z143" s="9"/>
      <c r="AA143" s="9"/>
      <c r="AB143" s="9"/>
      <c r="AC143" s="9"/>
      <c r="AD143" s="9"/>
    </row>
    <row r="144" spans="1:30" x14ac:dyDescent="0.2">
      <c r="B144" s="11">
        <v>4</v>
      </c>
      <c r="C144" s="319">
        <v>1</v>
      </c>
      <c r="D144" s="319">
        <v>1</v>
      </c>
      <c r="E144" s="319">
        <v>1</v>
      </c>
      <c r="F144" s="319">
        <v>1</v>
      </c>
      <c r="G144" s="321"/>
      <c r="H144" s="321"/>
      <c r="I144" s="321"/>
      <c r="J144" s="321"/>
      <c r="K144" s="64"/>
      <c r="L144" s="9"/>
      <c r="M144" s="64"/>
      <c r="N144" s="64"/>
      <c r="O144" s="64"/>
      <c r="P144" s="64"/>
      <c r="Q144" s="106"/>
      <c r="R144" s="64"/>
      <c r="S144" s="64"/>
      <c r="T144" s="106"/>
      <c r="U144" s="106"/>
      <c r="V144" s="106"/>
      <c r="W144" s="64"/>
      <c r="X144" s="9"/>
      <c r="Y144" s="9"/>
      <c r="Z144" s="9"/>
      <c r="AA144" s="9"/>
      <c r="AB144" s="9"/>
      <c r="AC144" s="9"/>
      <c r="AD144" s="9"/>
    </row>
    <row r="145" spans="1:30" x14ac:dyDescent="0.2">
      <c r="B145" s="161">
        <v>5</v>
      </c>
      <c r="C145" s="319">
        <v>1</v>
      </c>
      <c r="D145" s="319">
        <v>1</v>
      </c>
      <c r="E145" s="319">
        <v>1</v>
      </c>
      <c r="F145" s="319">
        <v>1</v>
      </c>
      <c r="G145" s="321"/>
      <c r="H145" s="321"/>
      <c r="I145" s="321"/>
      <c r="J145" s="321"/>
      <c r="K145" s="64"/>
      <c r="L145" s="64"/>
      <c r="M145" s="64"/>
      <c r="N145" s="64"/>
      <c r="O145" s="64"/>
      <c r="P145" s="64"/>
      <c r="Q145" s="106"/>
      <c r="R145" s="328"/>
      <c r="S145" s="64"/>
      <c r="T145" s="106"/>
      <c r="U145" s="106"/>
      <c r="V145" s="106"/>
      <c r="W145" s="64"/>
      <c r="X145" s="215"/>
      <c r="Y145" s="9"/>
      <c r="Z145" s="9"/>
      <c r="AA145" s="9"/>
      <c r="AB145" s="9"/>
      <c r="AC145" s="9"/>
      <c r="AD145" s="9"/>
    </row>
    <row r="146" spans="1:30" x14ac:dyDescent="0.2">
      <c r="B146" s="11">
        <v>6</v>
      </c>
      <c r="C146" s="319">
        <v>1</v>
      </c>
      <c r="D146" s="319">
        <v>1</v>
      </c>
      <c r="E146" s="319">
        <v>1</v>
      </c>
      <c r="F146" s="319">
        <v>1</v>
      </c>
      <c r="G146" s="321"/>
      <c r="H146" s="321"/>
      <c r="I146" s="321"/>
      <c r="J146" s="321"/>
      <c r="K146" s="64"/>
      <c r="L146" s="9"/>
      <c r="M146" s="64"/>
      <c r="N146" s="64"/>
      <c r="O146" s="64"/>
      <c r="P146" s="64"/>
      <c r="Q146" s="64"/>
      <c r="R146" s="64"/>
      <c r="S146" s="64"/>
      <c r="T146" s="64"/>
      <c r="U146" s="64"/>
      <c r="V146" s="64"/>
      <c r="W146" s="64"/>
      <c r="X146" s="9"/>
      <c r="Y146" s="9"/>
      <c r="Z146" s="9"/>
      <c r="AA146" s="9"/>
      <c r="AB146" s="9"/>
      <c r="AC146" s="9"/>
      <c r="AD146" s="9"/>
    </row>
    <row r="147" spans="1:30" x14ac:dyDescent="0.2">
      <c r="B147" s="161">
        <v>7</v>
      </c>
      <c r="C147" s="319">
        <v>1</v>
      </c>
      <c r="D147" s="319">
        <v>1</v>
      </c>
      <c r="E147" s="319">
        <v>1</v>
      </c>
      <c r="F147" s="319">
        <v>1</v>
      </c>
      <c r="G147" s="321"/>
      <c r="H147" s="321"/>
      <c r="I147" s="321"/>
      <c r="J147" s="321"/>
      <c r="K147" s="64"/>
      <c r="L147" s="9"/>
      <c r="M147" s="64"/>
      <c r="N147" s="64"/>
      <c r="O147" s="64"/>
      <c r="P147" s="64"/>
      <c r="Q147" s="64"/>
      <c r="R147" s="64"/>
      <c r="S147" s="64"/>
      <c r="T147" s="64"/>
      <c r="U147" s="64"/>
      <c r="V147" s="64"/>
      <c r="W147" s="64"/>
      <c r="X147" s="9"/>
      <c r="Y147" s="9"/>
      <c r="Z147" s="9"/>
      <c r="AA147" s="9"/>
      <c r="AB147" s="9"/>
      <c r="AC147" s="9"/>
      <c r="AD147" s="9"/>
    </row>
    <row r="148" spans="1:30" x14ac:dyDescent="0.2">
      <c r="B148" s="11">
        <v>8</v>
      </c>
      <c r="C148" s="319">
        <v>1</v>
      </c>
      <c r="D148" s="319">
        <v>1</v>
      </c>
      <c r="E148" s="319">
        <v>1</v>
      </c>
      <c r="F148" s="319">
        <v>1</v>
      </c>
      <c r="G148" s="254"/>
      <c r="H148" s="68"/>
      <c r="I148" s="289"/>
      <c r="J148" s="289"/>
      <c r="K148" s="289"/>
      <c r="L148" s="42"/>
      <c r="M148" s="64"/>
      <c r="N148" s="64"/>
      <c r="O148" s="64"/>
      <c r="P148" s="64"/>
      <c r="Q148" s="64"/>
      <c r="R148" s="64"/>
      <c r="S148" s="64"/>
      <c r="T148" s="64"/>
      <c r="U148" s="64"/>
      <c r="V148" s="64"/>
      <c r="W148" s="64"/>
      <c r="X148" s="215"/>
      <c r="Y148" s="9"/>
      <c r="Z148" s="9"/>
      <c r="AA148" s="9"/>
      <c r="AB148" s="9"/>
      <c r="AC148" s="9"/>
      <c r="AD148" s="9"/>
    </row>
    <row r="149" spans="1:30" x14ac:dyDescent="0.2">
      <c r="B149" s="161">
        <v>9</v>
      </c>
      <c r="C149" s="319">
        <v>1</v>
      </c>
      <c r="D149" s="319">
        <v>1</v>
      </c>
      <c r="E149" s="319">
        <v>1</v>
      </c>
      <c r="F149" s="319">
        <v>1</v>
      </c>
      <c r="G149" s="9"/>
      <c r="H149" s="9"/>
      <c r="I149" s="9"/>
      <c r="J149" s="9"/>
      <c r="K149" s="9"/>
      <c r="L149" s="42"/>
      <c r="M149" s="64"/>
      <c r="N149" s="64"/>
      <c r="O149" s="64"/>
      <c r="P149" s="64"/>
      <c r="Q149" s="64"/>
      <c r="R149" s="64"/>
      <c r="S149" s="64"/>
      <c r="T149" s="64"/>
      <c r="U149" s="64"/>
      <c r="V149" s="64"/>
      <c r="W149" s="64"/>
      <c r="X149" s="215"/>
      <c r="Y149" s="9"/>
      <c r="Z149" s="9"/>
      <c r="AA149" s="9"/>
      <c r="AB149" s="9"/>
      <c r="AC149" s="9"/>
      <c r="AD149" s="9"/>
    </row>
    <row r="150" spans="1:30" x14ac:dyDescent="0.2">
      <c r="B150" s="11">
        <v>10</v>
      </c>
      <c r="C150" s="319">
        <v>1</v>
      </c>
      <c r="D150" s="319">
        <v>1</v>
      </c>
      <c r="E150" s="319">
        <v>1</v>
      </c>
      <c r="F150" s="319">
        <v>1</v>
      </c>
      <c r="G150" s="9"/>
      <c r="H150" s="9"/>
      <c r="I150" s="9"/>
      <c r="J150" s="9"/>
      <c r="K150" s="9"/>
      <c r="L150" s="9"/>
      <c r="M150" s="64"/>
      <c r="N150" s="64"/>
      <c r="O150" s="64"/>
      <c r="P150" s="64"/>
      <c r="Q150" s="64"/>
      <c r="R150" s="64"/>
      <c r="S150" s="64"/>
      <c r="T150" s="64"/>
      <c r="U150" s="64"/>
      <c r="V150" s="64"/>
      <c r="W150" s="64"/>
      <c r="X150" s="9"/>
      <c r="Y150" s="9"/>
      <c r="Z150" s="9"/>
      <c r="AA150" s="9"/>
      <c r="AB150" s="9"/>
      <c r="AC150" s="9"/>
      <c r="AD150" s="9"/>
    </row>
    <row r="151" spans="1:30" x14ac:dyDescent="0.2">
      <c r="B151" s="161">
        <v>11</v>
      </c>
      <c r="C151" s="319"/>
      <c r="D151" s="319">
        <v>1</v>
      </c>
      <c r="E151" s="319"/>
      <c r="F151" s="319">
        <v>1</v>
      </c>
      <c r="G151" s="9"/>
      <c r="H151" s="9"/>
      <c r="I151" s="9"/>
      <c r="J151" s="9"/>
      <c r="K151" s="9"/>
      <c r="L151" s="9"/>
      <c r="M151" s="64"/>
      <c r="N151" s="64"/>
      <c r="O151" s="64"/>
      <c r="P151" s="64"/>
      <c r="Q151" s="64"/>
      <c r="R151" s="64"/>
      <c r="S151" s="64"/>
      <c r="T151" s="64"/>
      <c r="U151" s="64"/>
      <c r="V151" s="64"/>
      <c r="W151" s="64"/>
      <c r="X151" s="9"/>
      <c r="Y151" s="9"/>
      <c r="Z151" s="9"/>
      <c r="AA151" s="9"/>
      <c r="AB151" s="9"/>
      <c r="AC151" s="9"/>
      <c r="AD151" s="9"/>
    </row>
    <row r="152" spans="1:30" x14ac:dyDescent="0.2">
      <c r="B152" s="11">
        <v>12</v>
      </c>
      <c r="C152" s="319"/>
      <c r="D152" s="319">
        <v>1</v>
      </c>
      <c r="E152" s="319"/>
      <c r="F152" s="319">
        <v>1</v>
      </c>
      <c r="G152" s="9"/>
      <c r="H152" s="9"/>
      <c r="I152" s="9"/>
      <c r="J152" s="9"/>
      <c r="K152" s="9"/>
      <c r="L152" s="64"/>
      <c r="M152" s="64"/>
      <c r="N152" s="64"/>
      <c r="O152" s="64"/>
      <c r="P152" s="64"/>
      <c r="Q152" s="64"/>
      <c r="R152" s="64"/>
      <c r="S152" s="64"/>
      <c r="T152" s="64"/>
      <c r="U152" s="64"/>
      <c r="V152" s="64"/>
      <c r="W152" s="64"/>
      <c r="X152" s="9"/>
      <c r="Y152" s="9"/>
      <c r="Z152" s="9"/>
      <c r="AA152" s="9"/>
      <c r="AB152" s="9"/>
      <c r="AC152" s="9"/>
      <c r="AD152" s="9"/>
    </row>
    <row r="153" spans="1:30" x14ac:dyDescent="0.2">
      <c r="B153" s="398" t="s">
        <v>992</v>
      </c>
      <c r="C153" s="17">
        <f>COUNT(C141:C152)/12*100</f>
        <v>83.333333333333343</v>
      </c>
      <c r="D153" s="17">
        <f t="shared" ref="D153:F153" si="11">COUNT(D141:D152)/12*100</f>
        <v>100</v>
      </c>
      <c r="E153" s="17">
        <f t="shared" si="11"/>
        <v>83.333333333333343</v>
      </c>
      <c r="F153" s="17">
        <f t="shared" si="11"/>
        <v>100</v>
      </c>
      <c r="G153" s="9"/>
      <c r="H153" s="9"/>
      <c r="I153" s="9"/>
      <c r="J153" s="9"/>
      <c r="K153" s="9"/>
      <c r="L153" s="64"/>
      <c r="M153" s="64"/>
      <c r="N153" s="64"/>
      <c r="O153" s="64"/>
      <c r="P153" s="64"/>
      <c r="Q153" s="64"/>
      <c r="R153" s="64"/>
      <c r="S153" s="64"/>
      <c r="T153" s="64"/>
      <c r="U153" s="64"/>
      <c r="V153" s="64"/>
      <c r="W153" s="64"/>
      <c r="X153" s="9"/>
      <c r="Y153" s="9"/>
      <c r="Z153" s="9"/>
      <c r="AA153" s="9"/>
      <c r="AB153" s="9"/>
      <c r="AC153" s="9"/>
      <c r="AD153" s="9"/>
    </row>
    <row r="154" spans="1:30" x14ac:dyDescent="0.2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64"/>
      <c r="M154" s="64"/>
      <c r="N154" s="64"/>
      <c r="O154" s="64"/>
      <c r="P154" s="64"/>
      <c r="Q154" s="64"/>
      <c r="R154" s="64"/>
      <c r="S154" s="64"/>
      <c r="T154" s="64"/>
      <c r="U154" s="64"/>
      <c r="V154" s="64"/>
      <c r="W154" s="64"/>
      <c r="X154" s="9"/>
      <c r="Y154" s="9"/>
      <c r="Z154" s="9"/>
      <c r="AA154" s="9"/>
      <c r="AB154" s="9"/>
      <c r="AC154" s="9"/>
      <c r="AD154" s="9"/>
    </row>
    <row r="155" spans="1:30" x14ac:dyDescent="0.2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64"/>
      <c r="M155" s="64"/>
      <c r="N155" s="64"/>
      <c r="O155" s="64"/>
      <c r="P155" s="64"/>
      <c r="Q155" s="64"/>
      <c r="R155" s="64"/>
      <c r="S155" s="64"/>
      <c r="T155" s="64"/>
      <c r="U155" s="64"/>
      <c r="V155" s="64"/>
      <c r="W155" s="64"/>
      <c r="X155" s="9"/>
      <c r="Y155" s="9"/>
      <c r="Z155" s="9"/>
      <c r="AA155" s="9"/>
      <c r="AB155" s="9"/>
      <c r="AC155" s="9"/>
      <c r="AD155" s="9"/>
    </row>
    <row r="156" spans="1:30" x14ac:dyDescent="0.2">
      <c r="B156" s="9"/>
      <c r="C156" s="52" t="s">
        <v>955</v>
      </c>
      <c r="D156" s="9"/>
      <c r="E156" s="137"/>
      <c r="F156" s="137"/>
      <c r="G156" s="9"/>
      <c r="H156" s="9"/>
      <c r="I156" s="9"/>
      <c r="J156" s="9"/>
      <c r="K156" s="9"/>
      <c r="L156" s="288"/>
      <c r="M156" s="289"/>
      <c r="N156" s="289"/>
      <c r="O156" s="289"/>
      <c r="P156" s="289"/>
      <c r="Q156" s="64"/>
      <c r="R156" s="64"/>
      <c r="S156" s="64"/>
      <c r="T156" s="64"/>
      <c r="U156" s="64"/>
      <c r="V156" s="64"/>
      <c r="W156" s="64"/>
      <c r="X156" s="9"/>
      <c r="Y156" s="9"/>
      <c r="Z156" s="9"/>
      <c r="AA156" s="9"/>
      <c r="AB156" s="9"/>
      <c r="AC156" s="9"/>
      <c r="AD156" s="9"/>
    </row>
    <row r="157" spans="1:30" x14ac:dyDescent="0.2">
      <c r="B157" s="175" t="s">
        <v>961</v>
      </c>
      <c r="C157" s="316" t="s">
        <v>298</v>
      </c>
      <c r="D157" s="316" t="s">
        <v>943</v>
      </c>
      <c r="E157" s="316" t="s">
        <v>944</v>
      </c>
      <c r="F157" s="316" t="s">
        <v>945</v>
      </c>
      <c r="G157" s="9"/>
      <c r="H157" s="9"/>
      <c r="I157" s="9"/>
      <c r="J157" s="9"/>
      <c r="K157" s="9"/>
      <c r="L157" s="9"/>
      <c r="M157" s="64"/>
      <c r="N157" s="64"/>
      <c r="O157" s="64"/>
      <c r="P157" s="64"/>
      <c r="Q157" s="64"/>
      <c r="R157" s="9"/>
      <c r="S157" s="64"/>
      <c r="T157" s="64"/>
      <c r="U157" s="64"/>
      <c r="V157" s="64"/>
      <c r="W157" s="64"/>
      <c r="X157" s="9"/>
      <c r="Y157" s="9"/>
      <c r="Z157" s="9"/>
      <c r="AA157" s="9"/>
      <c r="AB157" s="9"/>
      <c r="AC157" s="9"/>
      <c r="AD157" s="9"/>
    </row>
    <row r="158" spans="1:30" x14ac:dyDescent="0.2">
      <c r="B158" s="435" t="s">
        <v>957</v>
      </c>
      <c r="C158" s="318" t="s">
        <v>946</v>
      </c>
      <c r="D158" s="318" t="s">
        <v>946</v>
      </c>
      <c r="E158" s="318" t="s">
        <v>946</v>
      </c>
      <c r="F158" s="329" t="s">
        <v>946</v>
      </c>
      <c r="G158" s="9"/>
      <c r="H158" s="9"/>
      <c r="I158" s="9"/>
      <c r="J158" s="9"/>
      <c r="K158" s="9"/>
      <c r="L158" s="9"/>
      <c r="M158" s="64"/>
      <c r="N158" s="64"/>
      <c r="O158" s="64"/>
      <c r="P158" s="64"/>
      <c r="Q158" s="64"/>
      <c r="R158" s="9"/>
      <c r="S158" s="64"/>
      <c r="T158" s="64"/>
      <c r="U158" s="64"/>
      <c r="V158" s="64"/>
      <c r="W158" s="64"/>
      <c r="X158" s="9"/>
      <c r="Y158" s="9"/>
      <c r="Z158" s="9"/>
      <c r="AA158" s="9"/>
      <c r="AB158" s="9"/>
      <c r="AC158" s="9"/>
      <c r="AD158" s="9"/>
    </row>
    <row r="159" spans="1:30" x14ac:dyDescent="0.2">
      <c r="B159" s="161">
        <v>1</v>
      </c>
      <c r="C159" s="319">
        <v>1</v>
      </c>
      <c r="D159" s="319">
        <v>1</v>
      </c>
      <c r="E159" s="319">
        <v>1</v>
      </c>
      <c r="F159" s="319">
        <v>1</v>
      </c>
      <c r="G159" s="9"/>
      <c r="H159" s="9"/>
      <c r="I159" s="9"/>
      <c r="J159" s="9"/>
      <c r="K159" s="9"/>
      <c r="L159" s="9"/>
      <c r="M159" s="64"/>
      <c r="N159" s="64"/>
      <c r="O159" s="64"/>
      <c r="P159" s="64"/>
      <c r="Q159" s="64"/>
      <c r="R159" s="9"/>
      <c r="S159" s="64"/>
      <c r="T159" s="64"/>
      <c r="U159" s="64"/>
      <c r="V159" s="64"/>
      <c r="W159" s="64"/>
      <c r="X159" s="9"/>
      <c r="Y159" s="9"/>
      <c r="Z159" s="9"/>
      <c r="AA159" s="9"/>
      <c r="AB159" s="9"/>
      <c r="AC159" s="9"/>
      <c r="AD159" s="9"/>
    </row>
    <row r="160" spans="1:30" x14ac:dyDescent="0.2">
      <c r="B160" s="11">
        <v>2</v>
      </c>
      <c r="C160" s="319">
        <v>1</v>
      </c>
      <c r="D160" s="319">
        <v>1</v>
      </c>
      <c r="E160" s="319">
        <v>1</v>
      </c>
      <c r="F160" s="319">
        <v>1</v>
      </c>
      <c r="G160" s="9"/>
      <c r="H160" s="9"/>
      <c r="I160" s="9"/>
      <c r="J160" s="9"/>
      <c r="K160" s="9"/>
      <c r="L160" s="9"/>
      <c r="M160" s="64"/>
      <c r="N160" s="64"/>
      <c r="O160" s="64"/>
      <c r="P160" s="64"/>
      <c r="Q160" s="64"/>
      <c r="R160" s="9"/>
      <c r="S160" s="64"/>
      <c r="T160" s="64"/>
      <c r="U160" s="64"/>
      <c r="V160" s="64"/>
      <c r="W160" s="64"/>
      <c r="X160" s="9"/>
      <c r="Y160" s="9"/>
      <c r="Z160" s="9"/>
      <c r="AA160" s="9"/>
      <c r="AB160" s="9"/>
      <c r="AC160" s="9"/>
      <c r="AD160" s="9"/>
    </row>
    <row r="161" spans="1:30" x14ac:dyDescent="0.2">
      <c r="B161" s="161">
        <v>3</v>
      </c>
      <c r="C161" s="319">
        <v>1</v>
      </c>
      <c r="D161" s="319">
        <v>1</v>
      </c>
      <c r="E161" s="319">
        <v>1</v>
      </c>
      <c r="F161" s="319">
        <v>1</v>
      </c>
      <c r="G161" s="9"/>
      <c r="H161" s="9"/>
      <c r="I161" s="9"/>
      <c r="J161" s="9"/>
      <c r="K161" s="9"/>
      <c r="L161" s="9"/>
      <c r="M161" s="64"/>
      <c r="N161" s="64"/>
      <c r="O161" s="64"/>
      <c r="P161" s="64"/>
      <c r="Q161" s="64"/>
      <c r="R161" s="9"/>
      <c r="S161" s="64"/>
      <c r="T161" s="64"/>
      <c r="U161" s="64"/>
      <c r="V161" s="64"/>
      <c r="W161" s="64"/>
      <c r="X161" s="9"/>
      <c r="Y161" s="9"/>
      <c r="Z161" s="9"/>
      <c r="AA161" s="9"/>
      <c r="AB161" s="9"/>
      <c r="AC161" s="9"/>
      <c r="AD161" s="9"/>
    </row>
    <row r="162" spans="1:30" x14ac:dyDescent="0.2">
      <c r="B162" s="11">
        <v>4</v>
      </c>
      <c r="C162" s="319">
        <v>1</v>
      </c>
      <c r="D162" s="319">
        <v>1</v>
      </c>
      <c r="E162" s="319">
        <v>1</v>
      </c>
      <c r="F162" s="319">
        <v>1</v>
      </c>
      <c r="G162" s="9"/>
      <c r="H162" s="9"/>
      <c r="I162" s="9"/>
      <c r="J162" s="9"/>
      <c r="K162" s="9"/>
      <c r="L162" s="9"/>
      <c r="M162" s="64"/>
      <c r="N162" s="64"/>
      <c r="O162" s="64"/>
      <c r="P162" s="64"/>
      <c r="Q162" s="64"/>
      <c r="R162" s="9"/>
      <c r="S162" s="64"/>
      <c r="T162" s="64"/>
      <c r="U162" s="64"/>
      <c r="V162" s="64"/>
      <c r="W162" s="64"/>
      <c r="X162" s="9"/>
      <c r="Y162" s="9"/>
      <c r="Z162" s="9"/>
      <c r="AA162" s="9"/>
      <c r="AB162" s="9"/>
      <c r="AC162" s="9"/>
      <c r="AD162" s="9"/>
    </row>
    <row r="163" spans="1:30" x14ac:dyDescent="0.2">
      <c r="B163" s="161">
        <v>5</v>
      </c>
      <c r="C163" s="319">
        <v>1</v>
      </c>
      <c r="D163" s="319">
        <v>1</v>
      </c>
      <c r="E163" s="319">
        <v>1</v>
      </c>
      <c r="F163" s="319">
        <v>1</v>
      </c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64"/>
      <c r="T163" s="64"/>
      <c r="U163" s="64"/>
      <c r="V163" s="64"/>
      <c r="W163" s="64"/>
      <c r="X163" s="9"/>
      <c r="Y163" s="9"/>
      <c r="Z163" s="9"/>
      <c r="AA163" s="9"/>
      <c r="AB163" s="9"/>
      <c r="AC163" s="9"/>
      <c r="AD163" s="9"/>
    </row>
    <row r="164" spans="1:30" x14ac:dyDescent="0.2">
      <c r="B164" s="11">
        <v>6</v>
      </c>
      <c r="C164" s="319">
        <v>1</v>
      </c>
      <c r="D164" s="319">
        <v>1</v>
      </c>
      <c r="E164" s="319">
        <v>1</v>
      </c>
      <c r="F164" s="319">
        <v>1</v>
      </c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64"/>
      <c r="T164" s="64"/>
      <c r="U164" s="64"/>
      <c r="V164" s="64"/>
      <c r="W164" s="64"/>
      <c r="X164" s="9"/>
      <c r="Y164" s="9"/>
      <c r="Z164" s="9"/>
      <c r="AA164" s="9"/>
      <c r="AB164" s="9"/>
      <c r="AC164" s="9"/>
      <c r="AD164" s="9"/>
    </row>
    <row r="165" spans="1:30" x14ac:dyDescent="0.2">
      <c r="B165" s="161">
        <v>7</v>
      </c>
      <c r="C165" s="319">
        <v>1</v>
      </c>
      <c r="D165" s="319">
        <v>1</v>
      </c>
      <c r="E165" s="319">
        <v>1</v>
      </c>
      <c r="F165" s="319">
        <v>1</v>
      </c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64"/>
      <c r="T165" s="64"/>
      <c r="U165" s="64"/>
      <c r="V165" s="64"/>
      <c r="W165" s="64"/>
      <c r="X165" s="9"/>
      <c r="Y165" s="9"/>
      <c r="Z165" s="9"/>
      <c r="AA165" s="9"/>
      <c r="AB165" s="9"/>
      <c r="AC165" s="9"/>
      <c r="AD165" s="9"/>
    </row>
    <row r="166" spans="1:30" x14ac:dyDescent="0.2">
      <c r="B166" s="11">
        <v>8</v>
      </c>
      <c r="C166" s="319">
        <v>1</v>
      </c>
      <c r="D166" s="319">
        <v>1</v>
      </c>
      <c r="E166" s="319">
        <v>1</v>
      </c>
      <c r="F166" s="319">
        <v>1</v>
      </c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64"/>
      <c r="T166" s="64"/>
      <c r="U166" s="64"/>
      <c r="V166" s="64"/>
      <c r="W166" s="64"/>
      <c r="X166" s="9"/>
      <c r="Y166" s="9"/>
      <c r="Z166" s="9"/>
      <c r="AA166" s="9"/>
      <c r="AB166" s="9"/>
      <c r="AC166" s="9"/>
      <c r="AD166" s="9"/>
    </row>
    <row r="167" spans="1:30" x14ac:dyDescent="0.2">
      <c r="B167" s="161">
        <v>9</v>
      </c>
      <c r="C167" s="319"/>
      <c r="D167" s="319">
        <v>1</v>
      </c>
      <c r="E167" s="319">
        <v>1</v>
      </c>
      <c r="F167" s="319">
        <v>1</v>
      </c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64"/>
      <c r="T167" s="64"/>
      <c r="U167" s="64"/>
      <c r="V167" s="64"/>
      <c r="W167" s="64"/>
      <c r="X167" s="9"/>
      <c r="Y167" s="9"/>
      <c r="Z167" s="9"/>
      <c r="AA167" s="9"/>
      <c r="AB167" s="9"/>
      <c r="AC167" s="9"/>
      <c r="AD167" s="9"/>
    </row>
    <row r="168" spans="1:30" x14ac:dyDescent="0.2">
      <c r="B168" s="11">
        <v>10</v>
      </c>
      <c r="C168" s="319"/>
      <c r="D168" s="319">
        <v>1</v>
      </c>
      <c r="E168" s="319">
        <v>1</v>
      </c>
      <c r="F168" s="31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64"/>
      <c r="T168" s="64"/>
      <c r="U168" s="64"/>
      <c r="V168" s="64"/>
      <c r="W168" s="64"/>
      <c r="X168" s="9"/>
      <c r="Y168" s="9"/>
      <c r="Z168" s="9"/>
      <c r="AA168" s="9"/>
      <c r="AB168" s="9"/>
      <c r="AC168" s="9"/>
      <c r="AD168" s="9"/>
    </row>
    <row r="169" spans="1:30" x14ac:dyDescent="0.2">
      <c r="B169" s="398" t="s">
        <v>992</v>
      </c>
      <c r="C169" s="17">
        <f>COUNT(C159:C168)/10*100</f>
        <v>80</v>
      </c>
      <c r="D169" s="17">
        <f t="shared" ref="D169:F169" si="12">COUNT(D159:D168)/10*100</f>
        <v>100</v>
      </c>
      <c r="E169" s="17">
        <f t="shared" si="12"/>
        <v>100</v>
      </c>
      <c r="F169" s="17">
        <f t="shared" si="12"/>
        <v>90</v>
      </c>
      <c r="G169" s="9"/>
      <c r="H169" s="330"/>
      <c r="I169" s="330"/>
      <c r="J169" s="247"/>
      <c r="K169" s="36"/>
      <c r="L169" s="9"/>
      <c r="M169" s="9"/>
      <c r="N169" s="9"/>
      <c r="O169" s="9"/>
      <c r="P169" s="9"/>
      <c r="Q169" s="9"/>
      <c r="R169" s="9"/>
      <c r="S169" s="64"/>
      <c r="T169" s="64"/>
      <c r="U169" s="64"/>
      <c r="V169" s="64"/>
      <c r="W169" s="64"/>
      <c r="X169" s="9"/>
      <c r="Y169" s="9"/>
      <c r="Z169" s="9"/>
      <c r="AA169" s="9"/>
      <c r="AB169" s="9"/>
      <c r="AC169" s="9"/>
      <c r="AD169" s="9"/>
    </row>
    <row r="170" spans="1:30" x14ac:dyDescent="0.2">
      <c r="A170" s="9"/>
      <c r="B170" s="9"/>
      <c r="C170" s="9"/>
      <c r="D170" s="9"/>
      <c r="E170" s="9"/>
      <c r="F170" s="289"/>
      <c r="G170" s="289"/>
      <c r="H170" s="9"/>
      <c r="I170" s="42"/>
      <c r="J170" s="42"/>
      <c r="K170" s="42"/>
      <c r="L170" s="9"/>
      <c r="M170" s="9"/>
      <c r="N170" s="9"/>
      <c r="O170" s="9"/>
      <c r="P170" s="9"/>
      <c r="Q170" s="9"/>
      <c r="R170" s="9"/>
      <c r="S170" s="64"/>
      <c r="T170" s="64"/>
      <c r="U170" s="64"/>
      <c r="V170" s="64"/>
      <c r="W170" s="64"/>
      <c r="X170" s="9"/>
      <c r="Y170" s="9"/>
      <c r="Z170" s="9"/>
      <c r="AA170" s="9"/>
      <c r="AB170" s="9"/>
      <c r="AC170" s="9"/>
      <c r="AD170" s="9"/>
    </row>
    <row r="171" spans="1:30" x14ac:dyDescent="0.2">
      <c r="B171" s="9"/>
      <c r="C171" s="9"/>
      <c r="D171" s="9"/>
      <c r="E171" s="9"/>
      <c r="F171" s="9"/>
      <c r="G171" s="65"/>
      <c r="H171" s="65"/>
      <c r="I171" s="328"/>
      <c r="J171" s="328"/>
      <c r="K171" s="328"/>
      <c r="L171" s="64"/>
      <c r="M171" s="9"/>
      <c r="N171" s="9"/>
      <c r="O171" s="9"/>
      <c r="P171" s="9"/>
      <c r="Q171" s="9"/>
      <c r="R171" s="9"/>
      <c r="S171" s="64"/>
      <c r="T171" s="64"/>
      <c r="U171" s="64"/>
      <c r="V171" s="64"/>
      <c r="W171" s="9"/>
      <c r="X171" s="9"/>
      <c r="Y171" s="9"/>
      <c r="Z171" s="9"/>
      <c r="AA171" s="9"/>
      <c r="AB171" s="9"/>
      <c r="AC171" s="9"/>
      <c r="AD171" s="9"/>
    </row>
    <row r="172" spans="1:30" x14ac:dyDescent="0.2">
      <c r="B172" s="9"/>
      <c r="C172" s="514" t="s">
        <v>1</v>
      </c>
      <c r="D172" s="515"/>
      <c r="E172" s="515"/>
      <c r="F172" s="516"/>
      <c r="G172" s="65"/>
      <c r="H172" s="65"/>
      <c r="I172" s="289"/>
      <c r="J172" s="514" t="s">
        <v>296</v>
      </c>
      <c r="K172" s="515"/>
      <c r="L172" s="515"/>
      <c r="M172" s="516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</row>
    <row r="173" spans="1:30" x14ac:dyDescent="0.2">
      <c r="B173" s="9"/>
      <c r="C173" s="152" t="s">
        <v>298</v>
      </c>
      <c r="D173" s="152" t="s">
        <v>299</v>
      </c>
      <c r="E173" s="152" t="s">
        <v>944</v>
      </c>
      <c r="F173" s="152" t="s">
        <v>945</v>
      </c>
      <c r="G173" s="9"/>
      <c r="H173" s="9"/>
      <c r="I173" s="9"/>
      <c r="J173" s="152" t="s">
        <v>298</v>
      </c>
      <c r="K173" s="152" t="s">
        <v>299</v>
      </c>
      <c r="L173" s="152" t="s">
        <v>944</v>
      </c>
      <c r="M173" s="152" t="s">
        <v>945</v>
      </c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</row>
    <row r="174" spans="1:30" x14ac:dyDescent="0.2">
      <c r="B174" s="17" t="s">
        <v>51</v>
      </c>
      <c r="C174" s="332">
        <f>AVERAGE(C169,C153,C135,C117,C95,C70)</f>
        <v>91.805555555555557</v>
      </c>
      <c r="D174" s="332">
        <f>AVERAGE(D169,D153,D135,D117,D95,D70)</f>
        <v>100</v>
      </c>
      <c r="E174" s="332">
        <f>AVERAGE(E169,E153,E135,E117,E95,E70)</f>
        <v>97.222222222222229</v>
      </c>
      <c r="F174" s="332">
        <f>AVERAGE(F169,F153,F135,F117,F95,F70)</f>
        <v>92.017195767195759</v>
      </c>
      <c r="G174" s="9"/>
      <c r="H174" s="9"/>
      <c r="I174" s="17" t="s">
        <v>51</v>
      </c>
      <c r="J174" s="332">
        <f>AVERAGE(I75,I88,I108,O108,O91,O68,U68,U88,U108)</f>
        <v>97.61904761904762</v>
      </c>
      <c r="K174" s="332">
        <f>AVERAGE(J75,J88,J108,P108,P91,P68,V68,V88,V108)</f>
        <v>75.555555555555557</v>
      </c>
      <c r="L174" s="332">
        <f>AVERAGE(K75,K88,K108,Q108,Q91,Q68,W68,W88,W108)</f>
        <v>48.253968253968253</v>
      </c>
      <c r="M174" s="332">
        <f>AVERAGE(L75,L88,L108,R108,R91,R68,X68,X88,X108)</f>
        <v>28.095238095238095</v>
      </c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</row>
    <row r="175" spans="1:30" x14ac:dyDescent="0.2">
      <c r="B175" s="17" t="s">
        <v>13</v>
      </c>
      <c r="C175" s="105">
        <f>STDEV(C169,C153,C135,C117,C95,C70)</f>
        <v>9.2858414724704303</v>
      </c>
      <c r="D175" s="105">
        <f>STDEV(D169,D153,D135,D117,D95,D70)</f>
        <v>0</v>
      </c>
      <c r="E175" s="105">
        <f>STDEV(E169,E153,E135,E117,E95,E70)</f>
        <v>6.8041381743977141</v>
      </c>
      <c r="F175" s="105">
        <f>STDEV(F169,F153,F135,F117,F95,F70)</f>
        <v>6.3472425865229862</v>
      </c>
      <c r="G175" s="9"/>
      <c r="H175" s="9"/>
      <c r="I175" s="17" t="s">
        <v>13</v>
      </c>
      <c r="J175" s="13">
        <f>STDEV(I75,I88,I108,O108,O91,O68,U68,U88,U108)</f>
        <v>7.1428571428571459</v>
      </c>
      <c r="K175" s="13">
        <f>STDEV(J75,J88,J108,P108,P91,P68,V68,V88,V108)</f>
        <v>43.333333333333329</v>
      </c>
      <c r="L175" s="13">
        <f>STDEV(K75,K88,K108,Q108,Q91,Q68,W68,W88,W108)</f>
        <v>47.535044954919456</v>
      </c>
      <c r="M175" s="13">
        <f>STDEV(L75,L88,L108,R108,R91,R68,X68,X88,X108)</f>
        <v>43.059048208861526</v>
      </c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</row>
    <row r="176" spans="1:30" x14ac:dyDescent="0.2">
      <c r="B176" s="17" t="s">
        <v>941</v>
      </c>
      <c r="C176" s="55">
        <f>COUNT(C159:C168,C141:C152,C123:C134,C101:C116,C81:C94,C61:C69)</f>
        <v>67</v>
      </c>
      <c r="D176" s="55">
        <f>COUNT(D159:D168,D141:D152,D123:D134,D101:D116,D81:D94,D61:D69)</f>
        <v>73</v>
      </c>
      <c r="E176" s="55">
        <f>COUNT(E159:E168,E141:E152,E123:E134,E101:E116,E81:E94,E61:E69)</f>
        <v>71</v>
      </c>
      <c r="F176" s="55">
        <f>COUNT(F159:F168,F141:F152,F123:F134,F101:F116,F81:F94,F61:F69)</f>
        <v>67</v>
      </c>
      <c r="G176" s="9"/>
      <c r="H176" s="9"/>
      <c r="I176" s="17" t="s">
        <v>941</v>
      </c>
      <c r="J176" s="83">
        <f>SUM(I101:I107,I81:I87,O101:O107,I61:I74,O61:O67,U61:U67,U81:U87,O81:O90,U101:U107)</f>
        <v>70</v>
      </c>
      <c r="K176" s="83">
        <f>SUM(J101:J107,J81:J87,P101:P107,J61:J74,P61:P67,V61:V67,V81:V87,P81:P90,V101:V107)</f>
        <v>57</v>
      </c>
      <c r="L176" s="83">
        <f>SUM(K101:K107,K81:K87,Q101:Q107,K61:K74,Q61:Q67,W61:W67,W81:W87,Q81:Q90,W101:W107)</f>
        <v>37</v>
      </c>
      <c r="M176" s="83">
        <f>SUM(L101:L107,L81:L87,R101:R107,L61:L74,R61:R67,X61:X67,X81:X87,R81:R90,X101:X107)</f>
        <v>21</v>
      </c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</row>
    <row r="177" spans="1:30" x14ac:dyDescent="0.2">
      <c r="B177" s="55" t="s">
        <v>694</v>
      </c>
      <c r="C177" s="17">
        <v>6</v>
      </c>
      <c r="D177" s="17">
        <v>6</v>
      </c>
      <c r="E177" s="17">
        <v>6</v>
      </c>
      <c r="F177" s="17">
        <v>6</v>
      </c>
      <c r="G177" s="9"/>
      <c r="H177" s="9"/>
      <c r="I177" s="17" t="s">
        <v>694</v>
      </c>
      <c r="J177" s="17">
        <f>COUNT(I75,I88,I108,O108,O91,O68,U68,U88,U108)</f>
        <v>9</v>
      </c>
      <c r="K177" s="17">
        <f>COUNT(J75,J88,J108,P108,P91,P68,V68,V88,V108)</f>
        <v>9</v>
      </c>
      <c r="L177" s="17">
        <f>COUNT(K75,K88,K108,Q108,Q91,Q68,W68,W88,W108)</f>
        <v>9</v>
      </c>
      <c r="M177" s="17">
        <f>COUNT(L75,L88,L108,R108,R91,R68,X68,X88,X108)</f>
        <v>9</v>
      </c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</row>
    <row r="178" spans="1:30" x14ac:dyDescent="0.2">
      <c r="B178" s="17" t="s">
        <v>14</v>
      </c>
      <c r="C178" s="333">
        <f>C175/SQRT(6)</f>
        <v>3.7909289066544942</v>
      </c>
      <c r="D178" s="333">
        <f>D175/SQRT(6)</f>
        <v>0</v>
      </c>
      <c r="E178" s="333">
        <f>E175/SQRT(6)</f>
        <v>2.7777777777777768</v>
      </c>
      <c r="F178" s="333">
        <f>F175/SQRT(6)</f>
        <v>2.5912509351074373</v>
      </c>
      <c r="G178" s="9"/>
      <c r="H178" s="9"/>
      <c r="I178" s="17" t="s">
        <v>14</v>
      </c>
      <c r="J178" s="218">
        <f>J175/SQRT(9)</f>
        <v>2.3809523809523818</v>
      </c>
      <c r="K178" s="218">
        <f t="shared" ref="K178:M178" si="13">K175/SQRT(9)</f>
        <v>14.444444444444443</v>
      </c>
      <c r="L178" s="218">
        <f t="shared" si="13"/>
        <v>15.845014984973153</v>
      </c>
      <c r="M178" s="218">
        <f t="shared" si="13"/>
        <v>14.353016069620509</v>
      </c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</row>
    <row r="179" spans="1:30" x14ac:dyDescent="0.2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</row>
    <row r="180" spans="1:30" x14ac:dyDescent="0.2">
      <c r="A180" s="150"/>
      <c r="B180" s="64"/>
      <c r="C180" s="64"/>
      <c r="D180" s="335"/>
      <c r="E180" s="335"/>
      <c r="F180" s="65"/>
      <c r="G180" s="65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</row>
    <row r="181" spans="1:30" x14ac:dyDescent="0.2">
      <c r="B181" s="8" t="s">
        <v>52</v>
      </c>
      <c r="C181" s="336"/>
      <c r="D181" s="336"/>
      <c r="E181" s="64"/>
      <c r="F181" s="64"/>
      <c r="G181" s="64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</row>
    <row r="182" spans="1:30" x14ac:dyDescent="0.2"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</row>
    <row r="183" spans="1:30" x14ac:dyDescent="0.2">
      <c r="B183" s="52" t="s">
        <v>56</v>
      </c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</row>
    <row r="184" spans="1:30" x14ac:dyDescent="0.2"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</row>
    <row r="185" spans="1:30" x14ac:dyDescent="0.2">
      <c r="B185" s="3" t="s">
        <v>69</v>
      </c>
      <c r="C185" s="16" t="s">
        <v>70</v>
      </c>
      <c r="D185" s="16" t="s">
        <v>36</v>
      </c>
      <c r="E185" s="16" t="s">
        <v>37</v>
      </c>
      <c r="F185" s="16" t="s">
        <v>47</v>
      </c>
      <c r="G185" s="1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</row>
    <row r="186" spans="1:30" x14ac:dyDescent="0.2">
      <c r="B186" s="2" t="s">
        <v>667</v>
      </c>
      <c r="C186" s="1">
        <v>11.14</v>
      </c>
      <c r="D186" s="1">
        <v>2.0799999999999999E-2</v>
      </c>
      <c r="E186" s="1" t="s">
        <v>12</v>
      </c>
      <c r="F186" s="1" t="s">
        <v>41</v>
      </c>
      <c r="G186" s="1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</row>
    <row r="187" spans="1:30" x14ac:dyDescent="0.2">
      <c r="B187" s="2" t="s">
        <v>668</v>
      </c>
      <c r="C187" s="1">
        <v>11.53</v>
      </c>
      <c r="D187" s="1">
        <v>1.8100000000000002E-2</v>
      </c>
      <c r="E187" s="1" t="s">
        <v>12</v>
      </c>
      <c r="F187" s="1" t="s">
        <v>41</v>
      </c>
      <c r="G187" s="1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</row>
    <row r="188" spans="1:30" x14ac:dyDescent="0.2">
      <c r="B188" s="2" t="s">
        <v>42</v>
      </c>
      <c r="C188" s="1">
        <v>17.260000000000002</v>
      </c>
      <c r="D188" s="1">
        <v>2.0000000000000001E-4</v>
      </c>
      <c r="E188" s="1" t="s">
        <v>10</v>
      </c>
      <c r="F188" s="1" t="s">
        <v>41</v>
      </c>
      <c r="G188" s="1"/>
    </row>
    <row r="189" spans="1:30" x14ac:dyDescent="0.2">
      <c r="B189" s="2"/>
      <c r="C189" s="1"/>
      <c r="D189" s="1"/>
      <c r="E189" s="1"/>
      <c r="F189" s="1"/>
      <c r="G189" s="1"/>
      <c r="Q189" s="95"/>
    </row>
    <row r="190" spans="1:30" x14ac:dyDescent="0.2">
      <c r="B190" s="2" t="s">
        <v>669</v>
      </c>
      <c r="C190" s="1" t="s">
        <v>670</v>
      </c>
      <c r="D190" s="1" t="s">
        <v>671</v>
      </c>
      <c r="E190" s="1" t="s">
        <v>672</v>
      </c>
      <c r="F190" s="1" t="s">
        <v>577</v>
      </c>
      <c r="G190" s="1" t="s">
        <v>36</v>
      </c>
    </row>
    <row r="191" spans="1:30" x14ac:dyDescent="0.2">
      <c r="B191" s="2" t="s">
        <v>667</v>
      </c>
      <c r="C191" s="1">
        <v>10047</v>
      </c>
      <c r="D191" s="1">
        <v>3</v>
      </c>
      <c r="E191" s="1">
        <v>3349</v>
      </c>
      <c r="F191" s="1" t="s">
        <v>962</v>
      </c>
      <c r="G191" s="1" t="s">
        <v>963</v>
      </c>
    </row>
    <row r="192" spans="1:30" x14ac:dyDescent="0.2">
      <c r="B192" s="2" t="s">
        <v>668</v>
      </c>
      <c r="C192" s="1">
        <v>10395</v>
      </c>
      <c r="D192" s="1">
        <v>3</v>
      </c>
      <c r="E192" s="1">
        <v>3465</v>
      </c>
      <c r="F192" s="1" t="s">
        <v>964</v>
      </c>
      <c r="G192" s="1" t="s">
        <v>965</v>
      </c>
    </row>
    <row r="193" spans="2:7" x14ac:dyDescent="0.2">
      <c r="B193" s="2" t="s">
        <v>42</v>
      </c>
      <c r="C193" s="1">
        <v>15568</v>
      </c>
      <c r="D193" s="1">
        <v>1</v>
      </c>
      <c r="E193" s="1">
        <v>15568</v>
      </c>
      <c r="F193" s="1" t="s">
        <v>966</v>
      </c>
      <c r="G193" s="1" t="s">
        <v>967</v>
      </c>
    </row>
    <row r="194" spans="2:7" x14ac:dyDescent="0.2">
      <c r="B194" s="2" t="s">
        <v>674</v>
      </c>
      <c r="C194" s="1">
        <v>49204</v>
      </c>
      <c r="D194" s="1">
        <v>52</v>
      </c>
      <c r="E194" s="1">
        <v>946.2</v>
      </c>
      <c r="F194" s="1"/>
      <c r="G194" s="1"/>
    </row>
    <row r="197" spans="2:7" x14ac:dyDescent="0.2">
      <c r="B197" s="3" t="s">
        <v>968</v>
      </c>
      <c r="C197" s="16" t="s">
        <v>675</v>
      </c>
      <c r="D197" s="16" t="s">
        <v>46</v>
      </c>
      <c r="E197" s="16" t="s">
        <v>47</v>
      </c>
      <c r="F197" s="16" t="s">
        <v>48</v>
      </c>
      <c r="G197" s="16" t="s">
        <v>5</v>
      </c>
    </row>
    <row r="198" spans="2:7" x14ac:dyDescent="0.2">
      <c r="B198" s="2" t="s">
        <v>974</v>
      </c>
      <c r="C198" s="1"/>
      <c r="D198" s="1"/>
      <c r="E198" s="1"/>
      <c r="F198" s="1"/>
      <c r="G198" s="1"/>
    </row>
    <row r="199" spans="2:7" x14ac:dyDescent="0.2">
      <c r="B199" s="2" t="s">
        <v>298</v>
      </c>
      <c r="C199" s="1">
        <v>-5.8129999999999997</v>
      </c>
      <c r="D199" s="1" t="s">
        <v>969</v>
      </c>
      <c r="E199" s="1" t="s">
        <v>49</v>
      </c>
      <c r="F199" s="1" t="s">
        <v>9</v>
      </c>
      <c r="G199" s="1">
        <v>0.99399999999999999</v>
      </c>
    </row>
    <row r="200" spans="2:7" x14ac:dyDescent="0.2">
      <c r="B200" s="2" t="s">
        <v>973</v>
      </c>
      <c r="C200" s="1">
        <v>24.44</v>
      </c>
      <c r="D200" s="1" t="s">
        <v>970</v>
      </c>
      <c r="E200" s="1" t="s">
        <v>49</v>
      </c>
      <c r="F200" s="1" t="s">
        <v>9</v>
      </c>
      <c r="G200" s="1">
        <v>0.44700000000000001</v>
      </c>
    </row>
    <row r="201" spans="2:7" x14ac:dyDescent="0.2">
      <c r="B201" s="2" t="s">
        <v>944</v>
      </c>
      <c r="C201" s="1">
        <v>48.97</v>
      </c>
      <c r="D201" s="1" t="s">
        <v>971</v>
      </c>
      <c r="E201" s="1" t="s">
        <v>41</v>
      </c>
      <c r="F201" s="1" t="s">
        <v>12</v>
      </c>
      <c r="G201" s="1">
        <v>1.55E-2</v>
      </c>
    </row>
    <row r="202" spans="2:7" x14ac:dyDescent="0.2">
      <c r="B202" s="2" t="s">
        <v>945</v>
      </c>
      <c r="C202" s="1">
        <v>63.92</v>
      </c>
      <c r="D202" s="1" t="s">
        <v>972</v>
      </c>
      <c r="E202" s="1" t="s">
        <v>41</v>
      </c>
      <c r="F202" s="1" t="s">
        <v>10</v>
      </c>
      <c r="G202" s="1">
        <v>1E-3</v>
      </c>
    </row>
  </sheetData>
  <mergeCells count="7">
    <mergeCell ref="C172:F172"/>
    <mergeCell ref="J172:M172"/>
    <mergeCell ref="C10:E10"/>
    <mergeCell ref="G10:I10"/>
    <mergeCell ref="C17:E17"/>
    <mergeCell ref="G17:I17"/>
    <mergeCell ref="K17:M17"/>
  </mergeCells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2:DA223"/>
  <sheetViews>
    <sheetView zoomScale="82" zoomScaleNormal="82" zoomScalePageLayoutView="82" workbookViewId="0">
      <selection activeCell="A5" sqref="A5"/>
    </sheetView>
  </sheetViews>
  <sheetFormatPr baseColWidth="10" defaultColWidth="10.83203125" defaultRowHeight="16" x14ac:dyDescent="0.2"/>
  <cols>
    <col min="1" max="1" width="10.83203125" style="183"/>
    <col min="2" max="2" width="18.1640625" style="183" customWidth="1"/>
    <col min="3" max="3" width="13" style="183" customWidth="1"/>
    <col min="4" max="7" width="10.83203125" style="183"/>
    <col min="8" max="8" width="15.83203125" style="183" customWidth="1"/>
    <col min="9" max="13" width="10.83203125" style="183"/>
    <col min="14" max="14" width="16.6640625" style="183" customWidth="1"/>
    <col min="15" max="19" width="10.83203125" style="183"/>
    <col min="20" max="20" width="16.33203125" style="183" customWidth="1"/>
    <col min="21" max="16384" width="10.83203125" style="183"/>
  </cols>
  <sheetData>
    <row r="2" spans="1:54" ht="18" x14ac:dyDescent="0.2">
      <c r="A2" s="53" t="s">
        <v>976</v>
      </c>
      <c r="B2" s="14"/>
    </row>
    <row r="4" spans="1:54" ht="18" x14ac:dyDescent="0.2">
      <c r="A4" s="14" t="s">
        <v>1064</v>
      </c>
      <c r="B4" s="14"/>
      <c r="C4" s="14"/>
      <c r="D4" s="14"/>
      <c r="E4" s="14"/>
      <c r="F4" s="14"/>
      <c r="G4" s="14"/>
      <c r="H4" s="339"/>
      <c r="I4" s="339"/>
      <c r="J4" s="304"/>
    </row>
    <row r="5" spans="1:54" s="304" customFormat="1" ht="18" x14ac:dyDescent="0.2">
      <c r="A5" s="93"/>
      <c r="B5" s="93"/>
      <c r="C5" s="93"/>
      <c r="D5" s="93"/>
      <c r="E5" s="93"/>
      <c r="F5" s="93"/>
      <c r="G5" s="93"/>
    </row>
    <row r="6" spans="1:54" s="304" customFormat="1" ht="18" x14ac:dyDescent="0.2">
      <c r="A6" s="93"/>
      <c r="B6" s="200" t="s">
        <v>949</v>
      </c>
      <c r="C6" s="93"/>
      <c r="D6" s="93"/>
      <c r="E6" s="93"/>
      <c r="F6" s="93"/>
      <c r="G6" s="93"/>
    </row>
    <row r="7" spans="1:54" x14ac:dyDescent="0.2">
      <c r="B7" s="9"/>
    </row>
    <row r="8" spans="1:54" x14ac:dyDescent="0.2">
      <c r="B8" s="206" t="s">
        <v>1038</v>
      </c>
      <c r="C8" s="340"/>
      <c r="D8" s="340"/>
    </row>
    <row r="9" spans="1:54" x14ac:dyDescent="0.2">
      <c r="A9" s="341"/>
      <c r="H9" s="304"/>
      <c r="I9" s="304"/>
      <c r="J9" s="304"/>
      <c r="K9" s="304"/>
      <c r="L9" s="304"/>
      <c r="M9" s="304"/>
      <c r="N9" s="304"/>
      <c r="O9" s="304"/>
      <c r="P9" s="304"/>
      <c r="Q9" s="304"/>
      <c r="R9" s="304"/>
      <c r="S9" s="304"/>
      <c r="T9" s="304"/>
    </row>
    <row r="10" spans="1:54" x14ac:dyDescent="0.2">
      <c r="A10" s="341"/>
      <c r="B10" s="9"/>
      <c r="C10" s="520" t="s">
        <v>707</v>
      </c>
      <c r="D10" s="521"/>
      <c r="E10" s="522"/>
      <c r="F10" s="303"/>
      <c r="G10" s="520" t="s">
        <v>708</v>
      </c>
      <c r="H10" s="521"/>
      <c r="I10" s="522"/>
      <c r="K10" s="303"/>
      <c r="L10" s="303"/>
      <c r="M10" s="303"/>
      <c r="N10" s="303"/>
      <c r="O10" s="303"/>
      <c r="P10" s="303"/>
      <c r="Q10" s="303"/>
      <c r="R10" s="303"/>
      <c r="S10" s="303"/>
      <c r="T10" s="303"/>
      <c r="U10" s="303"/>
      <c r="V10" s="303"/>
      <c r="W10" s="303"/>
      <c r="X10" s="303"/>
      <c r="Y10" s="303"/>
      <c r="Z10" s="303"/>
      <c r="AA10" s="303"/>
      <c r="AB10" s="303"/>
      <c r="AC10" s="303"/>
      <c r="AD10" s="303"/>
      <c r="AU10" s="303"/>
      <c r="AV10" s="303"/>
      <c r="AW10" s="303"/>
      <c r="AX10" s="303"/>
      <c r="AY10" s="303"/>
      <c r="AZ10" s="303"/>
      <c r="BA10" s="303"/>
      <c r="BB10" s="303"/>
    </row>
    <row r="11" spans="1:54" x14ac:dyDescent="0.2">
      <c r="A11" s="342"/>
      <c r="B11" s="9"/>
      <c r="C11" s="439" t="s">
        <v>32</v>
      </c>
      <c r="D11" s="439" t="s">
        <v>33</v>
      </c>
      <c r="E11" s="439" t="s">
        <v>34</v>
      </c>
      <c r="F11" s="290"/>
      <c r="G11" s="439" t="s">
        <v>32</v>
      </c>
      <c r="H11" s="439" t="s">
        <v>33</v>
      </c>
      <c r="I11" s="439" t="s">
        <v>34</v>
      </c>
      <c r="K11" s="290"/>
      <c r="L11" s="290"/>
      <c r="M11" s="290"/>
      <c r="N11" s="303"/>
      <c r="O11" s="303"/>
      <c r="P11" s="303"/>
      <c r="Q11" s="290"/>
      <c r="R11" s="290"/>
      <c r="S11" s="290"/>
      <c r="T11" s="290"/>
      <c r="U11" s="290"/>
      <c r="V11" s="290"/>
      <c r="W11" s="290"/>
      <c r="X11" s="290"/>
      <c r="Y11" s="290"/>
      <c r="Z11" s="290"/>
      <c r="AA11" s="290"/>
      <c r="AB11" s="290"/>
      <c r="AC11" s="290"/>
      <c r="AD11" s="290"/>
      <c r="AE11" s="303"/>
      <c r="AF11" s="303"/>
      <c r="AG11" s="303"/>
      <c r="AH11" s="303"/>
      <c r="AI11" s="303"/>
      <c r="AJ11" s="303"/>
      <c r="AK11" s="303"/>
      <c r="AL11" s="303"/>
      <c r="AM11" s="303"/>
      <c r="AN11" s="303"/>
      <c r="AO11" s="303"/>
      <c r="AP11" s="303"/>
      <c r="AQ11" s="303"/>
      <c r="AR11" s="303"/>
      <c r="AS11" s="303"/>
      <c r="AT11" s="303"/>
      <c r="AU11" s="290"/>
      <c r="AV11" s="290"/>
      <c r="AW11" s="290"/>
      <c r="AX11" s="290"/>
      <c r="AY11" s="290"/>
      <c r="AZ11" s="290"/>
      <c r="BA11" s="290"/>
      <c r="BB11" s="290"/>
    </row>
    <row r="12" spans="1:54" x14ac:dyDescent="0.2">
      <c r="B12" s="161" t="s">
        <v>951</v>
      </c>
      <c r="C12" s="344">
        <v>22</v>
      </c>
      <c r="D12" s="344">
        <v>51</v>
      </c>
      <c r="E12" s="344">
        <v>26</v>
      </c>
      <c r="F12" s="303"/>
      <c r="G12" s="344">
        <v>30</v>
      </c>
      <c r="H12" s="344">
        <v>12</v>
      </c>
      <c r="I12" s="344">
        <v>15</v>
      </c>
      <c r="K12" s="345"/>
      <c r="L12" s="345"/>
      <c r="M12" s="345"/>
      <c r="N12" s="303"/>
      <c r="O12" s="303"/>
      <c r="P12" s="303"/>
      <c r="Q12" s="345"/>
      <c r="R12" s="345"/>
      <c r="S12" s="345"/>
      <c r="T12" s="345"/>
      <c r="U12" s="345"/>
      <c r="V12" s="345"/>
      <c r="W12" s="345"/>
      <c r="X12" s="345"/>
      <c r="Y12" s="345"/>
      <c r="Z12" s="345"/>
      <c r="AA12" s="345"/>
      <c r="AB12" s="345"/>
      <c r="AC12" s="345"/>
      <c r="AD12" s="345"/>
      <c r="AE12" s="290"/>
      <c r="AF12" s="290"/>
      <c r="AG12" s="290"/>
      <c r="AH12" s="290"/>
      <c r="AI12" s="290"/>
      <c r="AJ12" s="290"/>
      <c r="AK12" s="290"/>
      <c r="AL12" s="290"/>
      <c r="AM12" s="290"/>
      <c r="AN12" s="290"/>
      <c r="AO12" s="290"/>
      <c r="AP12" s="290"/>
      <c r="AQ12" s="290"/>
      <c r="AR12" s="290"/>
      <c r="AS12" s="290"/>
      <c r="AT12" s="290"/>
      <c r="AU12" s="345"/>
      <c r="AV12" s="345"/>
      <c r="AW12" s="345"/>
      <c r="AX12" s="345"/>
      <c r="AY12" s="345"/>
      <c r="AZ12" s="345"/>
      <c r="BA12" s="345"/>
      <c r="BB12" s="345"/>
    </row>
    <row r="13" spans="1:54" x14ac:dyDescent="0.2">
      <c r="B13" s="161" t="s">
        <v>950</v>
      </c>
      <c r="C13" s="344">
        <v>22</v>
      </c>
      <c r="D13" s="344">
        <v>7</v>
      </c>
      <c r="E13" s="344">
        <v>26</v>
      </c>
      <c r="F13" s="303"/>
      <c r="G13" s="344">
        <v>30</v>
      </c>
      <c r="H13" s="344">
        <v>12</v>
      </c>
      <c r="I13" s="344">
        <v>15</v>
      </c>
      <c r="K13" s="303"/>
      <c r="L13" s="303"/>
      <c r="M13" s="303"/>
      <c r="N13" s="303"/>
      <c r="O13" s="303"/>
      <c r="P13" s="303"/>
      <c r="Q13" s="303"/>
      <c r="R13" s="303"/>
      <c r="S13" s="303"/>
      <c r="T13" s="303"/>
      <c r="U13" s="303"/>
      <c r="V13" s="303"/>
      <c r="W13" s="303"/>
      <c r="X13" s="303"/>
      <c r="Y13" s="303"/>
      <c r="Z13" s="303"/>
      <c r="AA13" s="303"/>
      <c r="AB13" s="303"/>
      <c r="AC13" s="303"/>
      <c r="AD13" s="303"/>
      <c r="AE13" s="345"/>
      <c r="AF13" s="345"/>
      <c r="AG13" s="345"/>
      <c r="AH13" s="345"/>
      <c r="AI13" s="345"/>
      <c r="AJ13" s="345"/>
      <c r="AK13" s="345"/>
      <c r="AL13" s="345"/>
      <c r="AM13" s="345"/>
      <c r="AN13" s="345"/>
      <c r="AO13" s="345"/>
      <c r="AP13" s="345"/>
      <c r="AQ13" s="345"/>
      <c r="AR13" s="345"/>
      <c r="AS13" s="345"/>
      <c r="AT13" s="345"/>
      <c r="AU13" s="303"/>
      <c r="AV13" s="303"/>
      <c r="AW13" s="303"/>
      <c r="AX13" s="303"/>
      <c r="AY13" s="303"/>
      <c r="AZ13" s="303"/>
      <c r="BA13" s="303"/>
      <c r="BB13" s="303"/>
    </row>
    <row r="14" spans="1:54" x14ac:dyDescent="0.2">
      <c r="B14" s="11" t="s">
        <v>952</v>
      </c>
      <c r="C14" s="346">
        <f>C13/C12*100</f>
        <v>100</v>
      </c>
      <c r="D14" s="346">
        <f>D13/D12*100</f>
        <v>13.725490196078432</v>
      </c>
      <c r="E14" s="346">
        <f>E13/E12*100</f>
        <v>100</v>
      </c>
      <c r="F14" s="345"/>
      <c r="G14" s="346">
        <f>G13/G12*100</f>
        <v>100</v>
      </c>
      <c r="H14" s="346">
        <f>H13/H12*100</f>
        <v>100</v>
      </c>
      <c r="I14" s="346">
        <f>I13/I12*100</f>
        <v>100</v>
      </c>
      <c r="K14" s="303"/>
      <c r="L14" s="303"/>
      <c r="M14" s="303"/>
      <c r="N14" s="303"/>
      <c r="O14" s="303"/>
      <c r="P14" s="303"/>
      <c r="Q14" s="303"/>
      <c r="R14" s="303"/>
      <c r="S14" s="303"/>
      <c r="T14" s="303"/>
      <c r="U14" s="303"/>
      <c r="V14" s="303"/>
      <c r="W14" s="303"/>
      <c r="X14" s="303"/>
      <c r="Y14" s="303"/>
      <c r="Z14" s="303"/>
      <c r="AA14" s="303"/>
      <c r="AB14" s="303"/>
      <c r="AC14" s="303"/>
      <c r="AD14" s="303"/>
      <c r="AE14" s="303"/>
      <c r="AF14" s="303"/>
      <c r="AG14" s="303"/>
      <c r="AH14" s="303"/>
      <c r="AI14" s="303"/>
      <c r="AJ14" s="303"/>
      <c r="AK14" s="303"/>
      <c r="AL14" s="303"/>
      <c r="AM14" s="303"/>
      <c r="AN14" s="303"/>
      <c r="AO14" s="303"/>
      <c r="AP14" s="303"/>
      <c r="AQ14" s="303"/>
      <c r="AR14" s="303"/>
      <c r="AS14" s="303"/>
      <c r="AT14" s="303"/>
      <c r="AU14" s="303"/>
      <c r="AV14" s="303"/>
      <c r="AW14" s="303"/>
      <c r="AX14" s="303"/>
      <c r="AY14" s="303"/>
      <c r="AZ14" s="303"/>
      <c r="BA14" s="303"/>
      <c r="BB14" s="303"/>
    </row>
    <row r="15" spans="1:54" x14ac:dyDescent="0.2">
      <c r="AE15" s="303"/>
      <c r="AF15" s="303"/>
      <c r="AG15" s="303"/>
      <c r="AH15" s="303"/>
      <c r="AI15" s="303"/>
      <c r="AJ15" s="303"/>
      <c r="AK15" s="303"/>
      <c r="AL15" s="303"/>
      <c r="AM15" s="303"/>
      <c r="AN15" s="303"/>
      <c r="AO15" s="303"/>
      <c r="AP15" s="303"/>
      <c r="AQ15" s="303"/>
      <c r="AR15" s="303"/>
      <c r="AS15" s="303"/>
      <c r="AT15" s="303"/>
    </row>
    <row r="16" spans="1:54" x14ac:dyDescent="0.2">
      <c r="C16" s="184"/>
      <c r="L16" s="303"/>
      <c r="M16" s="303"/>
      <c r="T16" s="347"/>
    </row>
    <row r="17" spans="1:82" x14ac:dyDescent="0.2">
      <c r="B17" s="64"/>
      <c r="C17" s="520" t="s">
        <v>2</v>
      </c>
      <c r="D17" s="521"/>
      <c r="E17" s="522"/>
      <c r="F17" s="303"/>
      <c r="G17" s="520" t="s">
        <v>3</v>
      </c>
      <c r="H17" s="521"/>
      <c r="I17" s="522"/>
      <c r="J17" s="303"/>
      <c r="K17" s="520" t="s">
        <v>4</v>
      </c>
      <c r="L17" s="521"/>
      <c r="M17" s="522"/>
      <c r="Q17" s="303"/>
      <c r="R17" s="303"/>
      <c r="S17" s="303"/>
      <c r="T17" s="303"/>
      <c r="U17" s="303"/>
      <c r="V17" s="303"/>
      <c r="W17" s="303"/>
      <c r="X17" s="303"/>
      <c r="Y17" s="303"/>
      <c r="Z17" s="303"/>
      <c r="AA17" s="303"/>
      <c r="AB17" s="303"/>
      <c r="AC17" s="303"/>
      <c r="AD17" s="303"/>
      <c r="AE17" s="303"/>
      <c r="AF17" s="303"/>
      <c r="AG17" s="303"/>
      <c r="AH17" s="303"/>
      <c r="AI17" s="303"/>
      <c r="AJ17" s="303"/>
      <c r="AK17" s="303"/>
      <c r="AL17" s="303"/>
      <c r="AM17" s="303"/>
      <c r="AN17" s="303"/>
      <c r="AO17" s="303"/>
      <c r="AP17" s="303"/>
      <c r="AQ17" s="303"/>
      <c r="AR17" s="303"/>
      <c r="AS17" s="303"/>
      <c r="AT17" s="303"/>
      <c r="AU17" s="303"/>
      <c r="AV17" s="303"/>
      <c r="AW17" s="303"/>
      <c r="AX17" s="303"/>
      <c r="AY17" s="303"/>
      <c r="AZ17" s="303"/>
      <c r="BA17" s="303"/>
      <c r="BB17" s="303"/>
    </row>
    <row r="18" spans="1:82" x14ac:dyDescent="0.2">
      <c r="B18" s="309"/>
      <c r="C18" s="439" t="s">
        <v>32</v>
      </c>
      <c r="D18" s="439" t="s">
        <v>33</v>
      </c>
      <c r="E18" s="439" t="s">
        <v>34</v>
      </c>
      <c r="F18" s="290"/>
      <c r="G18" s="439" t="s">
        <v>32</v>
      </c>
      <c r="H18" s="439" t="s">
        <v>33</v>
      </c>
      <c r="I18" s="439" t="s">
        <v>34</v>
      </c>
      <c r="J18" s="290"/>
      <c r="K18" s="439" t="s">
        <v>32</v>
      </c>
      <c r="L18" s="439" t="s">
        <v>33</v>
      </c>
      <c r="M18" s="439" t="s">
        <v>34</v>
      </c>
      <c r="Q18" s="290"/>
      <c r="R18" s="290"/>
      <c r="S18" s="290"/>
      <c r="T18" s="290"/>
      <c r="U18" s="290"/>
      <c r="V18" s="290"/>
      <c r="W18" s="290"/>
      <c r="X18" s="290"/>
      <c r="Y18" s="290"/>
      <c r="Z18" s="290"/>
      <c r="AA18" s="290"/>
      <c r="AB18" s="290"/>
      <c r="AC18" s="290"/>
      <c r="AD18" s="290"/>
      <c r="AE18" s="290"/>
      <c r="AF18" s="290"/>
      <c r="AG18" s="290"/>
      <c r="AH18" s="290"/>
      <c r="AI18" s="290"/>
      <c r="AJ18" s="290"/>
      <c r="AK18" s="290"/>
      <c r="AL18" s="290"/>
      <c r="AM18" s="290"/>
      <c r="AN18" s="290"/>
      <c r="AO18" s="290"/>
      <c r="AP18" s="290"/>
      <c r="AQ18" s="290"/>
      <c r="AR18" s="290"/>
      <c r="AS18" s="290"/>
      <c r="AT18" s="290"/>
      <c r="AU18" s="290"/>
      <c r="AV18" s="290"/>
      <c r="AW18" s="290"/>
      <c r="AX18" s="290"/>
      <c r="AY18" s="290"/>
      <c r="AZ18" s="290"/>
      <c r="BA18" s="290"/>
      <c r="BB18" s="303"/>
    </row>
    <row r="19" spans="1:82" x14ac:dyDescent="0.2">
      <c r="B19" s="161" t="s">
        <v>951</v>
      </c>
      <c r="C19" s="344">
        <v>61</v>
      </c>
      <c r="D19" s="344">
        <v>32</v>
      </c>
      <c r="E19" s="344">
        <v>48</v>
      </c>
      <c r="F19" s="303"/>
      <c r="G19" s="344">
        <v>57</v>
      </c>
      <c r="H19" s="344">
        <v>43</v>
      </c>
      <c r="I19" s="344">
        <v>55</v>
      </c>
      <c r="J19" s="303"/>
      <c r="K19" s="344">
        <v>61</v>
      </c>
      <c r="L19" s="344">
        <v>23</v>
      </c>
      <c r="M19" s="344">
        <v>46</v>
      </c>
      <c r="Q19" s="345"/>
      <c r="R19" s="345"/>
      <c r="S19" s="345"/>
      <c r="T19" s="345"/>
      <c r="U19" s="345"/>
      <c r="V19" s="345"/>
      <c r="W19" s="345"/>
      <c r="X19" s="345"/>
      <c r="Y19" s="345"/>
      <c r="Z19" s="345"/>
      <c r="AA19" s="345"/>
      <c r="AB19" s="345"/>
      <c r="AC19" s="345"/>
      <c r="AD19" s="345"/>
      <c r="AE19" s="345"/>
      <c r="AF19" s="345"/>
      <c r="AG19" s="345"/>
      <c r="AH19" s="345"/>
      <c r="AI19" s="345"/>
      <c r="AJ19" s="345"/>
      <c r="AK19" s="345"/>
      <c r="AL19" s="345"/>
      <c r="AM19" s="345"/>
      <c r="AN19" s="345"/>
      <c r="AO19" s="345"/>
      <c r="AP19" s="345"/>
      <c r="AQ19" s="345"/>
      <c r="AR19" s="345"/>
      <c r="AS19" s="345"/>
      <c r="AT19" s="345"/>
      <c r="AU19" s="345"/>
      <c r="AV19" s="345"/>
      <c r="AW19" s="345"/>
      <c r="AX19" s="345"/>
      <c r="AY19" s="345"/>
      <c r="AZ19" s="345"/>
      <c r="BA19" s="345"/>
      <c r="BB19" s="303"/>
    </row>
    <row r="20" spans="1:82" x14ac:dyDescent="0.2">
      <c r="B20" s="161" t="s">
        <v>950</v>
      </c>
      <c r="C20" s="344">
        <v>7</v>
      </c>
      <c r="D20" s="344">
        <v>7</v>
      </c>
      <c r="E20" s="344">
        <v>7</v>
      </c>
      <c r="F20" s="303"/>
      <c r="G20" s="344">
        <v>7</v>
      </c>
      <c r="H20" s="344">
        <v>8</v>
      </c>
      <c r="I20" s="344">
        <v>9</v>
      </c>
      <c r="J20" s="303"/>
      <c r="K20" s="344">
        <v>7</v>
      </c>
      <c r="L20" s="344">
        <v>10</v>
      </c>
      <c r="M20" s="344">
        <v>8</v>
      </c>
    </row>
    <row r="21" spans="1:82" x14ac:dyDescent="0.2">
      <c r="B21" s="11" t="s">
        <v>952</v>
      </c>
      <c r="C21" s="346">
        <f>C20/C19*100</f>
        <v>11.475409836065573</v>
      </c>
      <c r="D21" s="346">
        <f>D20/D19*100</f>
        <v>21.875</v>
      </c>
      <c r="E21" s="346">
        <f>E20/E19*100</f>
        <v>14.583333333333334</v>
      </c>
      <c r="F21" s="345"/>
      <c r="G21" s="346">
        <f>G20/G19*100</f>
        <v>12.280701754385964</v>
      </c>
      <c r="H21" s="346">
        <f>H20/H19*100</f>
        <v>18.604651162790699</v>
      </c>
      <c r="I21" s="346">
        <f>I20/I19*100</f>
        <v>16.363636363636363</v>
      </c>
      <c r="J21" s="345"/>
      <c r="K21" s="346">
        <f>K20/K19*100</f>
        <v>11.475409836065573</v>
      </c>
      <c r="L21" s="346">
        <f>L20/L19*100</f>
        <v>43.478260869565219</v>
      </c>
      <c r="M21" s="346">
        <f>M20/M19*100</f>
        <v>17.391304347826086</v>
      </c>
      <c r="Q21" s="303"/>
      <c r="R21" s="303"/>
      <c r="S21" s="303"/>
      <c r="T21" s="303"/>
      <c r="U21" s="303"/>
      <c r="V21" s="303"/>
      <c r="W21" s="303"/>
      <c r="X21" s="303"/>
      <c r="Y21" s="303"/>
      <c r="Z21" s="303"/>
      <c r="AA21" s="303"/>
      <c r="AB21" s="303"/>
      <c r="AC21" s="303"/>
      <c r="AD21" s="303"/>
      <c r="AE21" s="303"/>
      <c r="AF21" s="303"/>
      <c r="AG21" s="303"/>
      <c r="AH21" s="303"/>
      <c r="AI21" s="303"/>
      <c r="AJ21" s="303"/>
      <c r="AK21" s="303"/>
      <c r="AL21" s="303"/>
      <c r="AM21" s="303"/>
      <c r="AN21" s="303"/>
      <c r="AO21" s="303"/>
      <c r="AP21" s="303"/>
      <c r="AQ21" s="303"/>
      <c r="AR21" s="303"/>
      <c r="AS21" s="303"/>
      <c r="AT21" s="303"/>
      <c r="AU21" s="303"/>
      <c r="AV21" s="303"/>
      <c r="AW21" s="303"/>
      <c r="AX21" s="303"/>
      <c r="AY21" s="303"/>
      <c r="AZ21" s="303"/>
      <c r="BA21" s="303"/>
      <c r="BB21" s="303"/>
    </row>
    <row r="22" spans="1:82" x14ac:dyDescent="0.2">
      <c r="C22" s="348"/>
      <c r="D22" s="348"/>
      <c r="E22" s="348"/>
      <c r="F22" s="349"/>
      <c r="G22" s="348"/>
      <c r="H22" s="348"/>
      <c r="I22" s="348"/>
      <c r="J22" s="349"/>
      <c r="Q22" s="303"/>
      <c r="R22" s="303"/>
      <c r="S22" s="303"/>
      <c r="T22" s="303"/>
      <c r="U22" s="303"/>
      <c r="V22" s="303"/>
      <c r="W22" s="303"/>
      <c r="X22" s="303"/>
      <c r="Y22" s="303"/>
      <c r="Z22" s="303"/>
      <c r="AA22" s="303"/>
      <c r="AB22" s="303"/>
      <c r="AC22" s="303"/>
      <c r="AD22" s="303"/>
      <c r="AE22" s="303"/>
      <c r="AF22" s="303"/>
      <c r="AG22" s="303"/>
      <c r="AH22" s="303"/>
      <c r="AI22" s="303"/>
      <c r="AJ22" s="303"/>
      <c r="AK22" s="303"/>
      <c r="AL22" s="303"/>
      <c r="AM22" s="303"/>
      <c r="AN22" s="303"/>
      <c r="AO22" s="303"/>
      <c r="AP22" s="303"/>
      <c r="AQ22" s="303"/>
      <c r="AR22" s="303"/>
      <c r="AS22" s="303"/>
      <c r="AT22" s="303"/>
      <c r="AU22" s="303"/>
      <c r="AV22" s="303"/>
      <c r="AW22" s="303"/>
      <c r="AX22" s="303"/>
      <c r="AY22" s="303"/>
      <c r="AZ22" s="303"/>
      <c r="BA22" s="303"/>
      <c r="BB22" s="303"/>
    </row>
    <row r="23" spans="1:82" x14ac:dyDescent="0.2">
      <c r="J23" s="304"/>
      <c r="K23" s="304"/>
      <c r="L23" s="304"/>
      <c r="M23" s="304"/>
      <c r="N23" s="304"/>
      <c r="O23" s="66"/>
      <c r="P23" s="304"/>
      <c r="Q23" s="304"/>
      <c r="R23" s="304"/>
      <c r="S23" s="304"/>
      <c r="U23" s="350"/>
      <c r="V23" s="350"/>
      <c r="W23" s="303"/>
      <c r="X23" s="303"/>
      <c r="Y23" s="303"/>
      <c r="Z23" s="303"/>
      <c r="AA23" s="303"/>
      <c r="AB23" s="303"/>
      <c r="AC23" s="303"/>
    </row>
    <row r="24" spans="1:82" x14ac:dyDescent="0.2">
      <c r="B24" s="340" t="s">
        <v>940</v>
      </c>
      <c r="C24" s="340"/>
      <c r="D24" s="340"/>
      <c r="G24" s="304"/>
      <c r="H24" s="304"/>
      <c r="J24" s="304"/>
      <c r="K24" s="304"/>
      <c r="L24" s="304"/>
      <c r="M24" s="304"/>
      <c r="N24" s="304"/>
      <c r="O24" s="304"/>
      <c r="P24" s="304"/>
      <c r="Q24" s="304"/>
      <c r="R24" s="304"/>
      <c r="S24" s="304"/>
      <c r="U24" s="350"/>
      <c r="V24" s="350"/>
      <c r="W24" s="303"/>
      <c r="X24" s="303"/>
      <c r="Y24" s="303"/>
      <c r="Z24" s="303"/>
      <c r="AA24" s="303"/>
      <c r="AB24" s="303"/>
      <c r="AC24" s="303"/>
    </row>
    <row r="25" spans="1:82" x14ac:dyDescent="0.2">
      <c r="H25" s="304"/>
      <c r="J25" s="304"/>
      <c r="K25" s="304"/>
      <c r="L25" s="304"/>
      <c r="M25" s="304"/>
      <c r="N25" s="304"/>
      <c r="O25" s="171"/>
      <c r="P25" s="172"/>
      <c r="Q25" s="66"/>
      <c r="R25" s="304"/>
      <c r="S25" s="304"/>
      <c r="U25" s="350"/>
      <c r="V25" s="350"/>
      <c r="W25" s="303"/>
      <c r="X25" s="303"/>
      <c r="Y25" s="303"/>
    </row>
    <row r="26" spans="1:82" x14ac:dyDescent="0.2">
      <c r="C26" s="351" t="s">
        <v>1</v>
      </c>
      <c r="D26" s="351" t="s">
        <v>296</v>
      </c>
      <c r="H26" s="304"/>
      <c r="J26" s="304"/>
      <c r="K26" s="304"/>
      <c r="L26" s="304"/>
      <c r="M26" s="304"/>
      <c r="N26" s="304"/>
      <c r="O26" s="171"/>
      <c r="P26" s="304"/>
      <c r="Q26" s="304"/>
      <c r="R26" s="172"/>
      <c r="S26" s="304"/>
      <c r="U26" s="303"/>
      <c r="V26" s="303"/>
      <c r="W26" s="303"/>
      <c r="X26" s="303"/>
      <c r="Y26" s="303"/>
    </row>
    <row r="27" spans="1:82" x14ac:dyDescent="0.2">
      <c r="B27" s="344" t="s">
        <v>51</v>
      </c>
      <c r="C27" s="352">
        <f>AVERAGE(C14:E14,G14:I14)</f>
        <v>85.620915032679747</v>
      </c>
      <c r="D27" s="352">
        <f>AVERAGE(C21:E21,G21:I21,K21:M21)</f>
        <v>18.614189722629867</v>
      </c>
      <c r="H27" s="353"/>
      <c r="J27" s="395"/>
      <c r="K27" s="304"/>
      <c r="L27" s="304"/>
      <c r="M27" s="396"/>
      <c r="N27" s="304"/>
      <c r="O27" s="171"/>
      <c r="P27" s="304"/>
      <c r="Q27" s="304"/>
      <c r="R27" s="172"/>
      <c r="S27" s="304"/>
      <c r="U27" s="303"/>
      <c r="V27" s="303"/>
      <c r="W27" s="303"/>
      <c r="X27" s="303"/>
      <c r="Y27" s="303"/>
    </row>
    <row r="28" spans="1:82" x14ac:dyDescent="0.2">
      <c r="B28" s="344" t="s">
        <v>13</v>
      </c>
      <c r="C28" s="306">
        <f>STDEV(C14:E14,G14:I14)</f>
        <v>35.221421138058773</v>
      </c>
      <c r="D28" s="344">
        <f>STDEV(C21:E21,G21:I21,K21:M21)</f>
        <v>9.9605514237618156</v>
      </c>
      <c r="H28" s="304"/>
      <c r="J28" s="395"/>
      <c r="K28" s="304"/>
      <c r="L28" s="304"/>
      <c r="M28" s="396"/>
      <c r="N28" s="304"/>
      <c r="O28" s="171"/>
      <c r="P28" s="304"/>
      <c r="Q28" s="304"/>
      <c r="R28" s="172"/>
      <c r="S28" s="304"/>
      <c r="U28" s="303"/>
      <c r="V28" s="303"/>
      <c r="W28" s="303"/>
      <c r="X28" s="303"/>
      <c r="Y28" s="303"/>
    </row>
    <row r="29" spans="1:82" x14ac:dyDescent="0.2">
      <c r="B29" s="344" t="s">
        <v>941</v>
      </c>
      <c r="C29" s="354">
        <f>SUM((C12:E12,G12:I12))</f>
        <v>156</v>
      </c>
      <c r="D29" s="354">
        <f>SUM(C20:E20,G20:I20,K20:M20)</f>
        <v>70</v>
      </c>
      <c r="J29" s="395"/>
      <c r="K29" s="304"/>
      <c r="L29" s="397"/>
      <c r="M29" s="396"/>
      <c r="N29" s="304"/>
      <c r="O29" s="171"/>
      <c r="P29" s="304"/>
      <c r="Q29" s="304"/>
      <c r="R29" s="172"/>
      <c r="S29" s="303"/>
      <c r="T29" s="303"/>
      <c r="U29" s="303"/>
      <c r="V29" s="303"/>
      <c r="W29" s="303"/>
      <c r="X29" s="303"/>
      <c r="Y29" s="303"/>
    </row>
    <row r="30" spans="1:82" x14ac:dyDescent="0.2">
      <c r="B30" s="344" t="s">
        <v>694</v>
      </c>
      <c r="C30" s="306">
        <v>6</v>
      </c>
      <c r="D30" s="344">
        <v>9</v>
      </c>
      <c r="J30" s="395"/>
      <c r="K30" s="304"/>
      <c r="L30" s="304"/>
      <c r="M30" s="396"/>
      <c r="N30" s="304"/>
      <c r="O30" s="171"/>
      <c r="P30" s="304"/>
      <c r="Q30" s="304"/>
      <c r="R30" s="172"/>
      <c r="S30" s="303"/>
      <c r="T30" s="303"/>
      <c r="U30" s="303"/>
      <c r="V30" s="303"/>
      <c r="W30" s="303"/>
      <c r="X30" s="303"/>
      <c r="Y30" s="303"/>
    </row>
    <row r="31" spans="1:82" x14ac:dyDescent="0.2">
      <c r="A31" s="303"/>
      <c r="B31" s="344" t="s">
        <v>14</v>
      </c>
      <c r="C31" s="306">
        <f>C28/SQRT(6)</f>
        <v>14.379084967320264</v>
      </c>
      <c r="D31" s="306">
        <f>D28/SQRT(9)</f>
        <v>3.3201838079206052</v>
      </c>
      <c r="J31" s="304"/>
      <c r="K31" s="304"/>
      <c r="L31" s="304"/>
      <c r="M31" s="304"/>
      <c r="N31" s="303"/>
      <c r="O31" s="303"/>
      <c r="P31" s="303"/>
      <c r="Q31" s="303"/>
      <c r="R31" s="303"/>
      <c r="S31" s="303"/>
      <c r="T31" s="303"/>
      <c r="U31" s="303"/>
      <c r="V31" s="303"/>
      <c r="W31" s="303"/>
      <c r="X31" s="303"/>
      <c r="Y31" s="303"/>
    </row>
    <row r="32" spans="1:82" x14ac:dyDescent="0.2">
      <c r="A32" s="342"/>
      <c r="B32" s="343"/>
      <c r="C32" s="303"/>
      <c r="D32" s="303"/>
      <c r="E32" s="303"/>
      <c r="F32" s="303"/>
      <c r="G32" s="303"/>
      <c r="H32" s="303"/>
      <c r="I32" s="303"/>
      <c r="J32" s="303"/>
      <c r="K32" s="303"/>
      <c r="L32" s="303"/>
      <c r="M32" s="303"/>
      <c r="N32" s="303"/>
      <c r="O32" s="303"/>
      <c r="P32" s="303"/>
      <c r="Q32" s="303"/>
      <c r="R32" s="303"/>
      <c r="S32" s="303"/>
      <c r="T32" s="303"/>
      <c r="U32" s="303"/>
      <c r="V32" s="303"/>
      <c r="W32" s="303"/>
      <c r="X32" s="303"/>
      <c r="Y32" s="303"/>
      <c r="Z32" s="303"/>
      <c r="AA32" s="303"/>
      <c r="AB32" s="303"/>
      <c r="AC32" s="303"/>
      <c r="AD32" s="303"/>
      <c r="AE32" s="303"/>
      <c r="AF32" s="303"/>
      <c r="AG32" s="303"/>
      <c r="AH32" s="303"/>
      <c r="AI32" s="303"/>
      <c r="AJ32" s="303"/>
      <c r="AK32" s="303"/>
      <c r="AL32" s="303"/>
      <c r="AM32" s="303"/>
      <c r="AN32" s="303"/>
      <c r="AO32" s="303"/>
      <c r="AP32" s="303"/>
      <c r="AQ32" s="303"/>
      <c r="AR32" s="303"/>
      <c r="AS32" s="303"/>
      <c r="AT32" s="303"/>
      <c r="AU32" s="303"/>
      <c r="AV32" s="303"/>
      <c r="AW32" s="303"/>
      <c r="AX32" s="303"/>
      <c r="AY32" s="303"/>
      <c r="AZ32" s="303"/>
      <c r="BA32" s="303"/>
      <c r="BB32" s="303"/>
      <c r="BC32" s="303"/>
      <c r="BD32" s="303"/>
      <c r="BE32" s="303"/>
      <c r="BF32" s="303"/>
      <c r="BG32" s="303"/>
      <c r="BH32" s="303"/>
      <c r="BI32" s="303"/>
      <c r="BJ32" s="303"/>
      <c r="BK32" s="303"/>
      <c r="BL32" s="303"/>
      <c r="BM32" s="303"/>
      <c r="BN32" s="303"/>
      <c r="BO32" s="303"/>
      <c r="BP32" s="303"/>
      <c r="BQ32" s="303"/>
      <c r="BR32" s="303"/>
      <c r="BS32" s="303"/>
      <c r="BT32" s="303"/>
      <c r="BU32" s="303"/>
      <c r="BV32" s="303"/>
      <c r="BW32" s="303"/>
      <c r="BX32" s="303"/>
      <c r="BY32" s="303"/>
      <c r="BZ32" s="303"/>
      <c r="CA32" s="303"/>
      <c r="CB32" s="303"/>
      <c r="CC32" s="303"/>
      <c r="CD32" s="303"/>
    </row>
    <row r="33" spans="1:82" x14ac:dyDescent="0.2">
      <c r="A33" s="342"/>
      <c r="B33" s="343"/>
      <c r="C33" s="303"/>
      <c r="D33" s="303"/>
      <c r="E33" s="303"/>
      <c r="F33" s="303"/>
      <c r="G33" s="303"/>
      <c r="H33" s="303"/>
      <c r="I33" s="303"/>
      <c r="J33" s="303"/>
      <c r="K33" s="303"/>
      <c r="L33" s="303"/>
      <c r="M33" s="303"/>
      <c r="N33" s="303"/>
      <c r="O33" s="303"/>
      <c r="P33" s="303"/>
      <c r="Q33" s="303"/>
      <c r="R33" s="303"/>
      <c r="S33" s="303"/>
      <c r="T33" s="303"/>
      <c r="U33" s="303"/>
      <c r="V33" s="303"/>
      <c r="W33" s="303"/>
      <c r="X33" s="303"/>
      <c r="Y33" s="303"/>
      <c r="Z33" s="303"/>
      <c r="AA33" s="303"/>
      <c r="AB33" s="303"/>
      <c r="AC33" s="303"/>
      <c r="AD33" s="303"/>
      <c r="AE33" s="303"/>
      <c r="AF33" s="303"/>
      <c r="AG33" s="303"/>
      <c r="AH33" s="303"/>
      <c r="AI33" s="303"/>
      <c r="AJ33" s="303"/>
      <c r="AK33" s="303"/>
      <c r="AL33" s="303"/>
      <c r="AM33" s="303"/>
      <c r="AN33" s="303"/>
      <c r="AO33" s="303"/>
      <c r="AP33" s="303"/>
      <c r="AQ33" s="303"/>
      <c r="AR33" s="303"/>
      <c r="AS33" s="303"/>
      <c r="AT33" s="303"/>
      <c r="AU33" s="303"/>
      <c r="AV33" s="303"/>
      <c r="AW33" s="303"/>
      <c r="AX33" s="303"/>
      <c r="AY33" s="303"/>
      <c r="AZ33" s="303"/>
      <c r="BA33" s="303"/>
      <c r="BB33" s="303"/>
      <c r="BC33" s="303"/>
      <c r="BD33" s="303"/>
      <c r="BE33" s="303"/>
      <c r="BF33" s="303"/>
      <c r="BG33" s="303"/>
      <c r="BH33" s="303"/>
      <c r="BI33" s="303"/>
      <c r="BJ33" s="303"/>
      <c r="BK33" s="303"/>
      <c r="BL33" s="303"/>
      <c r="BM33" s="303"/>
      <c r="BN33" s="303"/>
      <c r="BO33" s="303"/>
      <c r="BP33" s="303"/>
      <c r="BQ33" s="303"/>
      <c r="BR33" s="303"/>
      <c r="BS33" s="303"/>
      <c r="BT33" s="303"/>
      <c r="BU33" s="303"/>
      <c r="BV33" s="303"/>
      <c r="BW33" s="303"/>
      <c r="BX33" s="303"/>
      <c r="BY33" s="303"/>
      <c r="BZ33" s="303"/>
      <c r="CA33" s="303"/>
      <c r="CB33" s="303"/>
      <c r="CC33" s="303"/>
      <c r="CD33" s="303"/>
    </row>
    <row r="34" spans="1:82" ht="18" x14ac:dyDescent="0.2">
      <c r="A34" s="342"/>
      <c r="B34" s="19" t="s">
        <v>52</v>
      </c>
      <c r="C34" s="20"/>
      <c r="D34" s="20"/>
      <c r="E34" s="20"/>
      <c r="F34" s="303"/>
      <c r="G34" s="303"/>
      <c r="H34" s="303"/>
      <c r="I34" s="303"/>
      <c r="J34" s="303"/>
      <c r="K34" s="303"/>
      <c r="L34" s="303"/>
      <c r="M34" s="303"/>
      <c r="N34" s="303"/>
      <c r="O34" s="303"/>
      <c r="P34" s="303"/>
      <c r="Q34" s="303"/>
      <c r="R34" s="303"/>
      <c r="S34" s="303"/>
      <c r="T34" s="303"/>
      <c r="U34" s="303"/>
      <c r="V34" s="303"/>
      <c r="W34" s="303"/>
      <c r="X34" s="303"/>
      <c r="Y34" s="303"/>
      <c r="Z34" s="303"/>
      <c r="AA34" s="303"/>
      <c r="AB34" s="303"/>
      <c r="AC34" s="303"/>
      <c r="AD34" s="303"/>
      <c r="AE34" s="303"/>
      <c r="AF34" s="303"/>
      <c r="AG34" s="303"/>
      <c r="AH34" s="303"/>
      <c r="AI34" s="303"/>
      <c r="AJ34" s="303"/>
      <c r="AK34" s="303"/>
      <c r="AL34" s="303"/>
      <c r="AM34" s="303"/>
      <c r="AN34" s="303"/>
      <c r="AO34" s="303"/>
      <c r="AP34" s="303"/>
      <c r="AQ34" s="303"/>
      <c r="AR34" s="303"/>
      <c r="AS34" s="303"/>
      <c r="AT34" s="303"/>
      <c r="AU34" s="303"/>
      <c r="AV34" s="303"/>
      <c r="AW34" s="303"/>
      <c r="AX34" s="303"/>
      <c r="AY34" s="303"/>
      <c r="AZ34" s="303"/>
      <c r="BA34" s="303"/>
      <c r="BB34" s="303"/>
      <c r="BC34" s="303"/>
      <c r="BD34" s="303"/>
      <c r="BE34" s="303"/>
      <c r="BF34" s="303"/>
      <c r="BG34" s="303"/>
      <c r="BH34" s="303"/>
      <c r="BI34" s="303"/>
      <c r="BJ34" s="303"/>
      <c r="BK34" s="303"/>
      <c r="BL34" s="303"/>
      <c r="BM34" s="303"/>
      <c r="BN34" s="303"/>
      <c r="BO34" s="303"/>
      <c r="BP34" s="303"/>
      <c r="BQ34" s="303"/>
      <c r="BR34" s="303"/>
      <c r="BS34" s="303"/>
      <c r="BT34" s="303"/>
      <c r="BU34" s="303"/>
      <c r="BV34" s="303"/>
      <c r="BW34" s="303"/>
      <c r="BX34" s="303"/>
      <c r="BY34" s="303"/>
      <c r="BZ34" s="303"/>
      <c r="CA34" s="303"/>
      <c r="CB34" s="303"/>
      <c r="CC34" s="303"/>
      <c r="CD34" s="303"/>
    </row>
    <row r="35" spans="1:82" x14ac:dyDescent="0.2">
      <c r="A35" s="342"/>
      <c r="B35" s="343"/>
      <c r="C35" s="303"/>
      <c r="D35" s="303"/>
      <c r="E35" s="303"/>
      <c r="F35" s="303"/>
      <c r="G35" s="303"/>
      <c r="H35" s="303"/>
      <c r="I35" s="303"/>
      <c r="J35" s="303"/>
      <c r="K35" s="303"/>
      <c r="L35" s="303"/>
      <c r="M35" s="303"/>
      <c r="N35" s="303"/>
      <c r="O35" s="303"/>
      <c r="P35" s="303"/>
      <c r="Q35" s="303"/>
      <c r="R35" s="303"/>
      <c r="S35" s="303"/>
      <c r="T35" s="303"/>
      <c r="U35" s="303"/>
      <c r="V35" s="303"/>
      <c r="W35" s="303"/>
      <c r="X35" s="303"/>
      <c r="Y35" s="303"/>
      <c r="Z35" s="303"/>
      <c r="AA35" s="303"/>
      <c r="AB35" s="303"/>
      <c r="AC35" s="303"/>
      <c r="AD35" s="303"/>
      <c r="AE35" s="303"/>
      <c r="AF35" s="303"/>
      <c r="AG35" s="303"/>
      <c r="AH35" s="303"/>
      <c r="AI35" s="303"/>
      <c r="AJ35" s="303"/>
      <c r="AK35" s="303"/>
      <c r="AL35" s="303"/>
      <c r="AM35" s="303"/>
      <c r="AN35" s="303"/>
      <c r="AO35" s="303"/>
      <c r="AP35" s="303"/>
      <c r="AQ35" s="303"/>
      <c r="AR35" s="303"/>
      <c r="AS35" s="303"/>
      <c r="AT35" s="303"/>
      <c r="AU35" s="303"/>
      <c r="AV35" s="303"/>
      <c r="AW35" s="303"/>
      <c r="AX35" s="303"/>
      <c r="AY35" s="303"/>
      <c r="AZ35" s="303"/>
      <c r="BA35" s="303"/>
      <c r="BB35" s="303"/>
      <c r="BC35" s="303"/>
      <c r="BD35" s="303"/>
      <c r="BE35" s="303"/>
      <c r="BF35" s="303"/>
      <c r="BG35" s="303"/>
      <c r="BH35" s="303"/>
      <c r="BI35" s="303"/>
      <c r="BJ35" s="303"/>
      <c r="BK35" s="303"/>
      <c r="BL35" s="303"/>
      <c r="BM35" s="303"/>
      <c r="BN35" s="303"/>
      <c r="BO35" s="303"/>
      <c r="BP35" s="303"/>
      <c r="BQ35" s="303"/>
      <c r="BR35" s="303"/>
      <c r="BS35" s="303"/>
      <c r="BT35" s="303"/>
      <c r="BU35" s="303"/>
      <c r="BV35" s="303"/>
      <c r="BW35" s="303"/>
      <c r="BX35" s="303"/>
      <c r="BY35" s="303"/>
      <c r="BZ35" s="303"/>
      <c r="CA35" s="303"/>
      <c r="CB35" s="303"/>
      <c r="CC35" s="303"/>
      <c r="CD35" s="303"/>
    </row>
    <row r="36" spans="1:82" x14ac:dyDescent="0.2">
      <c r="A36" s="342"/>
      <c r="B36" s="3" t="s">
        <v>243</v>
      </c>
      <c r="C36" s="1"/>
      <c r="D36" s="1" t="s">
        <v>1</v>
      </c>
      <c r="E36" s="64" t="s">
        <v>296</v>
      </c>
      <c r="F36" s="303"/>
      <c r="G36" s="303"/>
      <c r="H36" s="303"/>
      <c r="I36" s="303"/>
      <c r="J36" s="303"/>
      <c r="K36" s="303"/>
      <c r="L36" s="303"/>
      <c r="M36" s="303"/>
      <c r="N36" s="303"/>
      <c r="O36" s="303"/>
      <c r="P36" s="303"/>
      <c r="Q36" s="303"/>
      <c r="R36" s="303"/>
      <c r="S36" s="303"/>
      <c r="T36" s="303"/>
      <c r="U36" s="303"/>
      <c r="V36" s="303"/>
      <c r="W36" s="303"/>
      <c r="X36" s="303"/>
      <c r="Y36" s="303"/>
      <c r="Z36" s="303"/>
      <c r="AA36" s="303"/>
      <c r="AB36" s="303"/>
      <c r="AC36" s="303"/>
      <c r="AD36" s="303"/>
      <c r="AE36" s="303"/>
      <c r="AF36" s="303"/>
      <c r="AG36" s="303"/>
      <c r="AH36" s="303"/>
      <c r="AI36" s="303"/>
      <c r="AJ36" s="303"/>
      <c r="AK36" s="303"/>
      <c r="AL36" s="303"/>
      <c r="AM36" s="303"/>
      <c r="AN36" s="303"/>
      <c r="AO36" s="303"/>
      <c r="AP36" s="303"/>
      <c r="AQ36" s="303"/>
      <c r="AR36" s="303"/>
      <c r="AS36" s="303"/>
      <c r="AT36" s="303"/>
      <c r="AU36" s="303"/>
      <c r="AV36" s="303"/>
      <c r="AW36" s="303"/>
      <c r="AX36" s="303"/>
      <c r="AY36" s="303"/>
      <c r="AZ36" s="303"/>
      <c r="BA36" s="303"/>
      <c r="BB36" s="303"/>
      <c r="BC36" s="303"/>
      <c r="BD36" s="303"/>
      <c r="BE36" s="303"/>
      <c r="BF36" s="303"/>
      <c r="BG36" s="303"/>
      <c r="BH36" s="303"/>
      <c r="BI36" s="303"/>
      <c r="BJ36" s="303"/>
      <c r="BK36" s="303"/>
      <c r="BL36" s="303"/>
      <c r="BM36" s="303"/>
      <c r="BN36" s="303"/>
      <c r="BO36" s="303"/>
      <c r="BP36" s="303"/>
      <c r="BQ36" s="303"/>
      <c r="BR36" s="303"/>
      <c r="BS36" s="303"/>
      <c r="BT36" s="303"/>
      <c r="BU36" s="303"/>
      <c r="BV36" s="303"/>
      <c r="BW36" s="303"/>
      <c r="BX36" s="303"/>
      <c r="BY36" s="303"/>
      <c r="BZ36" s="303"/>
      <c r="CA36" s="303"/>
      <c r="CB36" s="303"/>
      <c r="CC36" s="303"/>
      <c r="CD36" s="303"/>
    </row>
    <row r="37" spans="1:82" x14ac:dyDescent="0.2">
      <c r="A37" s="342"/>
      <c r="B37" s="2" t="s">
        <v>244</v>
      </c>
      <c r="D37" s="46">
        <v>0.49609999999999999</v>
      </c>
      <c r="E37" s="46">
        <v>0.70920000000000005</v>
      </c>
      <c r="F37" s="303"/>
      <c r="G37" s="303"/>
      <c r="H37" s="303"/>
      <c r="I37" s="303"/>
      <c r="J37" s="303"/>
      <c r="K37" s="303"/>
      <c r="L37" s="303"/>
      <c r="M37" s="303"/>
      <c r="N37" s="303"/>
      <c r="O37" s="303"/>
      <c r="P37" s="303"/>
      <c r="Q37" s="303"/>
      <c r="R37" s="303"/>
      <c r="S37" s="303"/>
      <c r="T37" s="303"/>
      <c r="U37" s="303"/>
      <c r="V37" s="303"/>
      <c r="W37" s="303"/>
      <c r="X37" s="303"/>
      <c r="Y37" s="303"/>
      <c r="Z37" s="303"/>
      <c r="AA37" s="303"/>
      <c r="AB37" s="303"/>
      <c r="AC37" s="303"/>
      <c r="AD37" s="303"/>
      <c r="AE37" s="303"/>
      <c r="AF37" s="303"/>
      <c r="AG37" s="303"/>
      <c r="AH37" s="303"/>
      <c r="AI37" s="303"/>
      <c r="AJ37" s="303"/>
      <c r="AK37" s="303"/>
      <c r="AL37" s="303"/>
      <c r="AM37" s="303"/>
      <c r="AN37" s="303"/>
      <c r="AO37" s="303"/>
      <c r="AP37" s="303"/>
      <c r="AQ37" s="303"/>
      <c r="AR37" s="303"/>
      <c r="AS37" s="303"/>
      <c r="AT37" s="303"/>
      <c r="AU37" s="303"/>
      <c r="AV37" s="303"/>
      <c r="AW37" s="303"/>
      <c r="AX37" s="303"/>
      <c r="AY37" s="303"/>
      <c r="AZ37" s="303"/>
      <c r="BA37" s="303"/>
      <c r="BB37" s="303"/>
      <c r="BC37" s="303"/>
      <c r="BD37" s="303"/>
      <c r="BE37" s="303"/>
      <c r="BF37" s="303"/>
      <c r="BG37" s="303"/>
      <c r="BH37" s="303"/>
      <c r="BI37" s="303"/>
      <c r="BJ37" s="303"/>
      <c r="BK37" s="303"/>
      <c r="BL37" s="303"/>
      <c r="BM37" s="303"/>
      <c r="BN37" s="303"/>
      <c r="BO37" s="303"/>
      <c r="BP37" s="303"/>
      <c r="BQ37" s="303"/>
      <c r="BR37" s="303"/>
      <c r="BS37" s="303"/>
      <c r="BT37" s="303"/>
      <c r="BU37" s="303"/>
      <c r="BV37" s="303"/>
      <c r="BW37" s="303"/>
      <c r="BX37" s="303"/>
      <c r="BY37" s="303"/>
      <c r="BZ37" s="303"/>
      <c r="CA37" s="303"/>
      <c r="CB37" s="303"/>
      <c r="CC37" s="303"/>
      <c r="CD37" s="303"/>
    </row>
    <row r="38" spans="1:82" x14ac:dyDescent="0.2">
      <c r="A38" s="342"/>
      <c r="B38" s="2" t="s">
        <v>36</v>
      </c>
      <c r="D38" s="46" t="s">
        <v>176</v>
      </c>
      <c r="E38" s="46">
        <v>1.8E-3</v>
      </c>
      <c r="F38" s="303"/>
      <c r="G38" s="303"/>
      <c r="H38" s="303"/>
      <c r="I38" s="303"/>
      <c r="J38" s="303"/>
      <c r="K38" s="303"/>
      <c r="L38" s="303"/>
      <c r="M38" s="303"/>
      <c r="N38" s="303"/>
      <c r="O38" s="303"/>
      <c r="P38" s="303"/>
      <c r="Q38" s="303"/>
      <c r="R38" s="303"/>
      <c r="S38" s="303"/>
      <c r="T38" s="303"/>
      <c r="U38" s="303"/>
      <c r="V38" s="303"/>
      <c r="W38" s="303"/>
      <c r="X38" s="303"/>
      <c r="Y38" s="303"/>
      <c r="Z38" s="303"/>
      <c r="AA38" s="303"/>
      <c r="AB38" s="303"/>
      <c r="AC38" s="303"/>
      <c r="AD38" s="303"/>
      <c r="AE38" s="303"/>
      <c r="AF38" s="303"/>
      <c r="AG38" s="303"/>
      <c r="AH38" s="303"/>
      <c r="AI38" s="303"/>
      <c r="AJ38" s="303"/>
      <c r="AK38" s="303"/>
      <c r="AL38" s="303"/>
      <c r="AM38" s="303"/>
      <c r="AN38" s="303"/>
      <c r="AO38" s="303"/>
      <c r="AP38" s="303"/>
      <c r="AQ38" s="303"/>
      <c r="AR38" s="303"/>
      <c r="AS38" s="303"/>
      <c r="AT38" s="303"/>
      <c r="AU38" s="303"/>
      <c r="AV38" s="303"/>
      <c r="AW38" s="303"/>
      <c r="AX38" s="303"/>
      <c r="AY38" s="303"/>
      <c r="AZ38" s="303"/>
      <c r="BA38" s="303"/>
      <c r="BB38" s="303"/>
      <c r="BC38" s="303"/>
      <c r="BD38" s="303"/>
      <c r="BE38" s="303"/>
      <c r="BF38" s="303"/>
      <c r="BG38" s="303"/>
      <c r="BH38" s="303"/>
      <c r="BI38" s="303"/>
      <c r="BJ38" s="303"/>
      <c r="BK38" s="303"/>
      <c r="BL38" s="303"/>
      <c r="BM38" s="303"/>
      <c r="BN38" s="303"/>
      <c r="BO38" s="303"/>
      <c r="BP38" s="303"/>
      <c r="BQ38" s="303"/>
      <c r="BR38" s="303"/>
      <c r="BS38" s="303"/>
      <c r="BT38" s="303"/>
      <c r="BU38" s="303"/>
      <c r="BV38" s="303"/>
      <c r="BW38" s="303"/>
      <c r="BX38" s="303"/>
      <c r="BY38" s="303"/>
      <c r="BZ38" s="303"/>
      <c r="CA38" s="303"/>
      <c r="CB38" s="303"/>
      <c r="CC38" s="303"/>
      <c r="CD38" s="303"/>
    </row>
    <row r="39" spans="1:82" x14ac:dyDescent="0.2">
      <c r="A39" s="342"/>
      <c r="B39" s="2" t="s">
        <v>245</v>
      </c>
      <c r="D39" s="46" t="s">
        <v>49</v>
      </c>
      <c r="E39" s="46" t="s">
        <v>49</v>
      </c>
      <c r="F39" s="303"/>
      <c r="G39" s="303"/>
      <c r="H39" s="303"/>
      <c r="I39" s="303"/>
      <c r="J39" s="303"/>
      <c r="K39" s="303"/>
      <c r="L39" s="303"/>
      <c r="M39" s="303"/>
      <c r="N39" s="303"/>
      <c r="O39" s="303"/>
      <c r="P39" s="303"/>
      <c r="Q39" s="303"/>
      <c r="R39" s="303"/>
      <c r="S39" s="303"/>
      <c r="T39" s="303"/>
      <c r="U39" s="303"/>
      <c r="V39" s="303"/>
      <c r="W39" s="303"/>
      <c r="X39" s="303"/>
      <c r="Y39" s="303"/>
      <c r="Z39" s="303"/>
      <c r="AA39" s="303"/>
      <c r="AB39" s="303"/>
      <c r="AC39" s="303"/>
      <c r="AD39" s="303"/>
      <c r="AE39" s="303"/>
      <c r="AF39" s="303"/>
      <c r="AG39" s="303"/>
      <c r="AH39" s="303"/>
      <c r="AI39" s="303"/>
      <c r="AJ39" s="303"/>
      <c r="AK39" s="303"/>
      <c r="AL39" s="303"/>
      <c r="AM39" s="303"/>
      <c r="AN39" s="303"/>
      <c r="AO39" s="303"/>
      <c r="AP39" s="303"/>
      <c r="AQ39" s="303"/>
      <c r="AR39" s="303"/>
      <c r="AS39" s="303"/>
      <c r="AT39" s="303"/>
      <c r="AU39" s="303"/>
      <c r="AV39" s="303"/>
      <c r="AW39" s="303"/>
      <c r="AX39" s="303"/>
      <c r="AY39" s="303"/>
      <c r="AZ39" s="303"/>
      <c r="BA39" s="303"/>
      <c r="BB39" s="303"/>
      <c r="BC39" s="303"/>
      <c r="BD39" s="303"/>
      <c r="BE39" s="303"/>
      <c r="BF39" s="303"/>
      <c r="BG39" s="303"/>
      <c r="BH39" s="303"/>
      <c r="BI39" s="303"/>
      <c r="BJ39" s="303"/>
      <c r="BK39" s="303"/>
      <c r="BL39" s="303"/>
      <c r="BM39" s="303"/>
      <c r="BN39" s="303"/>
      <c r="BO39" s="303"/>
      <c r="BP39" s="303"/>
      <c r="BQ39" s="303"/>
      <c r="BR39" s="303"/>
      <c r="BS39" s="303"/>
      <c r="BT39" s="303"/>
      <c r="BU39" s="303"/>
      <c r="BV39" s="303"/>
      <c r="BW39" s="303"/>
      <c r="BX39" s="303"/>
      <c r="BY39" s="303"/>
      <c r="BZ39" s="303"/>
      <c r="CA39" s="303"/>
      <c r="CB39" s="303"/>
      <c r="CC39" s="303"/>
      <c r="CD39" s="303"/>
    </row>
    <row r="40" spans="1:82" x14ac:dyDescent="0.2">
      <c r="A40" s="342"/>
      <c r="B40" s="2" t="s">
        <v>37</v>
      </c>
      <c r="D40" s="46" t="s">
        <v>177</v>
      </c>
      <c r="E40" s="46" t="s">
        <v>11</v>
      </c>
      <c r="F40" s="303"/>
      <c r="G40" s="303"/>
      <c r="H40" s="303"/>
      <c r="I40" s="303"/>
      <c r="J40" s="303"/>
      <c r="K40" s="303"/>
      <c r="L40" s="303"/>
      <c r="M40" s="303"/>
      <c r="N40" s="303"/>
      <c r="O40" s="303"/>
      <c r="P40" s="303"/>
      <c r="Q40" s="303"/>
      <c r="R40" s="303"/>
      <c r="S40" s="303"/>
      <c r="T40" s="303"/>
      <c r="U40" s="303"/>
      <c r="V40" s="303"/>
      <c r="W40" s="303"/>
      <c r="X40" s="303"/>
      <c r="Y40" s="303"/>
      <c r="Z40" s="303"/>
      <c r="AA40" s="303"/>
      <c r="AB40" s="303"/>
      <c r="AC40" s="303"/>
      <c r="AD40" s="303"/>
      <c r="AE40" s="303"/>
      <c r="AF40" s="303"/>
      <c r="AG40" s="303"/>
      <c r="AH40" s="303"/>
      <c r="AI40" s="303"/>
      <c r="AJ40" s="303"/>
      <c r="AK40" s="303"/>
      <c r="AL40" s="303"/>
      <c r="AM40" s="303"/>
      <c r="AN40" s="303"/>
      <c r="AO40" s="303"/>
      <c r="AP40" s="303"/>
      <c r="AQ40" s="303"/>
      <c r="AR40" s="303"/>
      <c r="AS40" s="303"/>
      <c r="AT40" s="303"/>
      <c r="AU40" s="303"/>
      <c r="AV40" s="303"/>
      <c r="AW40" s="303"/>
      <c r="AX40" s="303"/>
      <c r="AY40" s="303"/>
      <c r="AZ40" s="303"/>
      <c r="BA40" s="303"/>
      <c r="BB40" s="303"/>
      <c r="BC40" s="303"/>
      <c r="BD40" s="303"/>
      <c r="BE40" s="303"/>
      <c r="BF40" s="303"/>
      <c r="BG40" s="303"/>
      <c r="BH40" s="303"/>
      <c r="BI40" s="303"/>
      <c r="BJ40" s="303"/>
      <c r="BK40" s="303"/>
      <c r="BL40" s="303"/>
      <c r="BM40" s="303"/>
      <c r="BN40" s="303"/>
      <c r="BO40" s="303"/>
      <c r="BP40" s="303"/>
      <c r="BQ40" s="303"/>
      <c r="BR40" s="303"/>
      <c r="BS40" s="303"/>
      <c r="BT40" s="303"/>
      <c r="BU40" s="303"/>
      <c r="BV40" s="303"/>
      <c r="BW40" s="303"/>
      <c r="BX40" s="303"/>
      <c r="BY40" s="303"/>
      <c r="BZ40" s="303"/>
      <c r="CA40" s="303"/>
      <c r="CB40" s="303"/>
      <c r="CC40" s="303"/>
      <c r="CD40" s="303"/>
    </row>
    <row r="41" spans="1:82" x14ac:dyDescent="0.2">
      <c r="A41" s="342"/>
      <c r="B41" s="343"/>
      <c r="C41" s="303"/>
      <c r="D41" s="303"/>
      <c r="E41" s="303"/>
      <c r="F41" s="303"/>
      <c r="G41" s="303"/>
      <c r="H41" s="303"/>
      <c r="I41" s="303"/>
      <c r="J41" s="303"/>
      <c r="K41" s="303"/>
      <c r="L41" s="303"/>
      <c r="M41" s="303"/>
      <c r="N41" s="303"/>
      <c r="O41" s="303"/>
      <c r="P41" s="303"/>
      <c r="Q41" s="303"/>
      <c r="R41" s="303"/>
      <c r="S41" s="303"/>
      <c r="T41" s="303"/>
      <c r="U41" s="303"/>
      <c r="V41" s="303"/>
      <c r="W41" s="303"/>
      <c r="X41" s="303"/>
      <c r="Y41" s="303"/>
      <c r="Z41" s="303"/>
      <c r="AA41" s="303"/>
      <c r="AB41" s="303"/>
      <c r="AC41" s="303"/>
      <c r="AD41" s="303"/>
      <c r="AE41" s="303"/>
      <c r="AF41" s="303"/>
      <c r="AG41" s="303"/>
      <c r="AH41" s="303"/>
      <c r="AI41" s="303"/>
      <c r="AJ41" s="303"/>
      <c r="AK41" s="303"/>
      <c r="AL41" s="303"/>
      <c r="AM41" s="303"/>
      <c r="AN41" s="303"/>
      <c r="AO41" s="303"/>
      <c r="AP41" s="303"/>
      <c r="AQ41" s="303"/>
      <c r="AR41" s="303"/>
      <c r="AS41" s="303"/>
      <c r="AT41" s="303"/>
      <c r="AU41" s="303"/>
      <c r="AV41" s="303"/>
      <c r="AW41" s="303"/>
      <c r="AX41" s="303"/>
      <c r="AY41" s="303"/>
      <c r="AZ41" s="303"/>
      <c r="BA41" s="303"/>
      <c r="BB41" s="303"/>
      <c r="BC41" s="303"/>
      <c r="BD41" s="303"/>
      <c r="BE41" s="303"/>
      <c r="BF41" s="303"/>
      <c r="BG41" s="303"/>
      <c r="BH41" s="303"/>
      <c r="BI41" s="303"/>
      <c r="BJ41" s="303"/>
      <c r="BK41" s="303"/>
      <c r="BL41" s="303"/>
      <c r="BM41" s="303"/>
      <c r="BN41" s="303"/>
      <c r="BO41" s="303"/>
      <c r="BP41" s="303"/>
      <c r="BQ41" s="303"/>
      <c r="BR41" s="303"/>
      <c r="BS41" s="303"/>
      <c r="BT41" s="303"/>
      <c r="BU41" s="303"/>
      <c r="BV41" s="303"/>
      <c r="BW41" s="303"/>
      <c r="BX41" s="303"/>
      <c r="BY41" s="303"/>
      <c r="BZ41" s="303"/>
      <c r="CA41" s="303"/>
      <c r="CB41" s="303"/>
      <c r="CC41" s="303"/>
      <c r="CD41" s="303"/>
    </row>
    <row r="42" spans="1:82" x14ac:dyDescent="0.2">
      <c r="A42" s="342"/>
      <c r="B42" s="3" t="s">
        <v>301</v>
      </c>
      <c r="D42" s="303"/>
      <c r="E42" s="1"/>
      <c r="F42" s="303"/>
      <c r="G42" s="303"/>
      <c r="H42" s="303"/>
      <c r="I42" s="303"/>
      <c r="J42" s="303"/>
      <c r="K42" s="303"/>
      <c r="L42" s="303"/>
      <c r="M42" s="303"/>
      <c r="N42" s="303"/>
      <c r="O42" s="303"/>
      <c r="P42" s="303"/>
      <c r="Q42" s="303"/>
      <c r="R42" s="303"/>
      <c r="S42" s="303"/>
      <c r="T42" s="303"/>
      <c r="U42" s="303"/>
      <c r="V42" s="303"/>
      <c r="W42" s="303"/>
      <c r="X42" s="303"/>
      <c r="Y42" s="303"/>
      <c r="Z42" s="303"/>
      <c r="AA42" s="303"/>
      <c r="AB42" s="303"/>
      <c r="AC42" s="303"/>
      <c r="AD42" s="303"/>
      <c r="AE42" s="303"/>
      <c r="AF42" s="303"/>
      <c r="AG42" s="303"/>
      <c r="AH42" s="303"/>
      <c r="AI42" s="303"/>
      <c r="AJ42" s="303"/>
      <c r="AK42" s="303"/>
      <c r="AL42" s="303"/>
      <c r="AM42" s="303"/>
      <c r="AN42" s="303"/>
      <c r="AO42" s="303"/>
      <c r="AP42" s="303"/>
      <c r="AQ42" s="303"/>
      <c r="AR42" s="303"/>
      <c r="AS42" s="303"/>
      <c r="AT42" s="303"/>
      <c r="AU42" s="303"/>
      <c r="AV42" s="303"/>
      <c r="AW42" s="303"/>
      <c r="AX42" s="303"/>
      <c r="AY42" s="303"/>
      <c r="AZ42" s="303"/>
      <c r="BA42" s="303"/>
      <c r="BB42" s="303"/>
      <c r="BC42" s="303"/>
      <c r="BD42" s="303"/>
      <c r="BE42" s="303"/>
      <c r="BF42" s="303"/>
      <c r="BG42" s="303"/>
      <c r="BH42" s="303"/>
      <c r="BI42" s="303"/>
      <c r="BJ42" s="303"/>
      <c r="BK42" s="303"/>
      <c r="BL42" s="303"/>
      <c r="BM42" s="303"/>
      <c r="BN42" s="303"/>
      <c r="BO42" s="303"/>
      <c r="BP42" s="303"/>
      <c r="BQ42" s="303"/>
      <c r="BR42" s="303"/>
      <c r="BS42" s="303"/>
      <c r="BT42" s="303"/>
      <c r="BU42" s="303"/>
      <c r="BV42" s="303"/>
      <c r="BW42" s="303"/>
      <c r="BX42" s="303"/>
      <c r="BY42" s="303"/>
      <c r="BZ42" s="303"/>
      <c r="CA42" s="303"/>
      <c r="CB42" s="303"/>
      <c r="CC42" s="303"/>
      <c r="CD42" s="303"/>
    </row>
    <row r="43" spans="1:82" x14ac:dyDescent="0.2">
      <c r="A43" s="342"/>
      <c r="B43" s="2" t="s">
        <v>36</v>
      </c>
      <c r="D43" s="303"/>
      <c r="E43" s="1">
        <v>1.06E-2</v>
      </c>
      <c r="F43" s="303"/>
      <c r="G43" s="303"/>
      <c r="H43" s="303"/>
      <c r="I43" s="303"/>
      <c r="J43" s="303"/>
      <c r="K43" s="303"/>
      <c r="L43" s="303"/>
      <c r="M43" s="303"/>
      <c r="N43" s="303"/>
      <c r="O43" s="303"/>
      <c r="P43" s="303"/>
      <c r="Q43" s="303"/>
      <c r="R43" s="303"/>
      <c r="S43" s="303"/>
      <c r="T43" s="303"/>
      <c r="U43" s="303"/>
      <c r="V43" s="303"/>
      <c r="W43" s="303"/>
      <c r="X43" s="303"/>
      <c r="Y43" s="303"/>
      <c r="Z43" s="303"/>
      <c r="AA43" s="303"/>
      <c r="AB43" s="303"/>
      <c r="AC43" s="303"/>
      <c r="AD43" s="303"/>
      <c r="AE43" s="303"/>
      <c r="AF43" s="303"/>
      <c r="AG43" s="303"/>
      <c r="AH43" s="303"/>
      <c r="AI43" s="303"/>
      <c r="AJ43" s="303"/>
      <c r="AK43" s="303"/>
      <c r="AL43" s="303"/>
      <c r="AM43" s="303"/>
      <c r="AN43" s="303"/>
      <c r="AO43" s="303"/>
      <c r="AP43" s="303"/>
      <c r="AQ43" s="303"/>
      <c r="AR43" s="303"/>
      <c r="AS43" s="303"/>
      <c r="AT43" s="303"/>
      <c r="AU43" s="303"/>
      <c r="AV43" s="303"/>
      <c r="AW43" s="303"/>
      <c r="AX43" s="303"/>
      <c r="AY43" s="303"/>
      <c r="AZ43" s="303"/>
      <c r="BA43" s="303"/>
      <c r="BB43" s="303"/>
      <c r="BC43" s="303"/>
      <c r="BD43" s="303"/>
      <c r="BE43" s="303"/>
      <c r="BF43" s="303"/>
      <c r="BG43" s="303"/>
      <c r="BH43" s="303"/>
      <c r="BI43" s="303"/>
      <c r="BJ43" s="303"/>
      <c r="BK43" s="303"/>
      <c r="BL43" s="303"/>
      <c r="BM43" s="303"/>
      <c r="BN43" s="303"/>
      <c r="BO43" s="303"/>
      <c r="BP43" s="303"/>
      <c r="BQ43" s="303"/>
      <c r="BR43" s="303"/>
      <c r="BS43" s="303"/>
      <c r="BT43" s="303"/>
      <c r="BU43" s="303"/>
      <c r="BV43" s="303"/>
      <c r="BW43" s="303"/>
      <c r="BX43" s="303"/>
      <c r="BY43" s="303"/>
      <c r="BZ43" s="303"/>
      <c r="CA43" s="303"/>
      <c r="CB43" s="303"/>
      <c r="CC43" s="303"/>
      <c r="CD43" s="303"/>
    </row>
    <row r="44" spans="1:82" x14ac:dyDescent="0.2">
      <c r="A44" s="342"/>
      <c r="B44" s="2" t="s">
        <v>247</v>
      </c>
      <c r="D44" s="303"/>
      <c r="E44" s="46" t="s">
        <v>302</v>
      </c>
      <c r="F44" s="303"/>
      <c r="G44" s="303"/>
      <c r="H44" s="303"/>
      <c r="I44" s="303"/>
      <c r="J44" s="303"/>
      <c r="K44" s="303"/>
      <c r="L44" s="303"/>
      <c r="M44" s="303"/>
      <c r="N44" s="303"/>
      <c r="O44" s="303"/>
      <c r="P44" s="303"/>
      <c r="Q44" s="303"/>
      <c r="R44" s="303"/>
      <c r="S44" s="303"/>
      <c r="T44" s="303"/>
      <c r="U44" s="303"/>
      <c r="V44" s="303"/>
      <c r="W44" s="303"/>
      <c r="X44" s="303"/>
      <c r="Y44" s="303"/>
      <c r="Z44" s="303"/>
      <c r="AA44" s="303"/>
      <c r="AB44" s="303"/>
      <c r="AC44" s="303"/>
      <c r="AD44" s="303"/>
      <c r="AE44" s="303"/>
      <c r="AF44" s="303"/>
      <c r="AG44" s="303"/>
      <c r="AH44" s="303"/>
      <c r="AI44" s="303"/>
      <c r="AJ44" s="303"/>
      <c r="AK44" s="303"/>
      <c r="AL44" s="303"/>
      <c r="AM44" s="303"/>
      <c r="AN44" s="303"/>
      <c r="AO44" s="303"/>
      <c r="AP44" s="303"/>
      <c r="AQ44" s="303"/>
      <c r="AR44" s="303"/>
      <c r="AS44" s="303"/>
      <c r="AT44" s="303"/>
      <c r="AU44" s="303"/>
      <c r="AV44" s="303"/>
      <c r="AW44" s="303"/>
      <c r="AX44" s="303"/>
      <c r="AY44" s="303"/>
      <c r="AZ44" s="303"/>
      <c r="BA44" s="303"/>
      <c r="BB44" s="303"/>
      <c r="BC44" s="303"/>
      <c r="BD44" s="303"/>
      <c r="BE44" s="303"/>
      <c r="BF44" s="303"/>
      <c r="BG44" s="303"/>
      <c r="BH44" s="303"/>
      <c r="BI44" s="303"/>
      <c r="BJ44" s="303"/>
      <c r="BK44" s="303"/>
      <c r="BL44" s="303"/>
      <c r="BM44" s="303"/>
      <c r="BN44" s="303"/>
      <c r="BO44" s="303"/>
      <c r="BP44" s="303"/>
      <c r="BQ44" s="303"/>
      <c r="BR44" s="303"/>
      <c r="BS44" s="303"/>
      <c r="BT44" s="303"/>
      <c r="BU44" s="303"/>
      <c r="BV44" s="303"/>
      <c r="BW44" s="303"/>
      <c r="BX44" s="303"/>
      <c r="BY44" s="303"/>
      <c r="BZ44" s="303"/>
      <c r="CA44" s="303"/>
      <c r="CB44" s="303"/>
      <c r="CC44" s="303"/>
      <c r="CD44" s="303"/>
    </row>
    <row r="45" spans="1:82" x14ac:dyDescent="0.2">
      <c r="A45" s="342"/>
      <c r="B45" s="2" t="s">
        <v>37</v>
      </c>
      <c r="D45" s="303"/>
      <c r="E45" s="46" t="s">
        <v>12</v>
      </c>
      <c r="F45" s="303"/>
      <c r="G45" s="303"/>
      <c r="H45" s="303"/>
      <c r="I45" s="303"/>
      <c r="J45" s="303"/>
      <c r="K45" s="303"/>
      <c r="L45" s="303"/>
      <c r="M45" s="303"/>
      <c r="N45" s="303"/>
      <c r="O45" s="303"/>
      <c r="P45" s="303"/>
      <c r="Q45" s="303"/>
      <c r="R45" s="303"/>
      <c r="S45" s="303"/>
      <c r="T45" s="303"/>
      <c r="U45" s="303"/>
      <c r="V45" s="303"/>
      <c r="W45" s="303"/>
      <c r="X45" s="303"/>
      <c r="Y45" s="303"/>
      <c r="Z45" s="303"/>
      <c r="AA45" s="303"/>
      <c r="AB45" s="303"/>
      <c r="AC45" s="303"/>
      <c r="AD45" s="303"/>
      <c r="AE45" s="303"/>
      <c r="AF45" s="303"/>
      <c r="AG45" s="303"/>
      <c r="AH45" s="303"/>
      <c r="AI45" s="303"/>
      <c r="AJ45" s="303"/>
      <c r="AK45" s="303"/>
      <c r="AL45" s="303"/>
      <c r="AM45" s="303"/>
      <c r="AN45" s="303"/>
      <c r="AO45" s="303"/>
      <c r="AP45" s="303"/>
      <c r="AQ45" s="303"/>
      <c r="AR45" s="303"/>
      <c r="AS45" s="303"/>
      <c r="AT45" s="303"/>
      <c r="AU45" s="303"/>
      <c r="AV45" s="303"/>
      <c r="AW45" s="303"/>
      <c r="AX45" s="303"/>
      <c r="AY45" s="303"/>
      <c r="AZ45" s="303"/>
      <c r="BA45" s="303"/>
      <c r="BB45" s="303"/>
      <c r="BC45" s="303"/>
      <c r="BD45" s="303"/>
      <c r="BE45" s="303"/>
      <c r="BF45" s="303"/>
      <c r="BG45" s="303"/>
      <c r="BH45" s="303"/>
      <c r="BI45" s="303"/>
      <c r="BJ45" s="303"/>
      <c r="BK45" s="303"/>
      <c r="BL45" s="303"/>
      <c r="BM45" s="303"/>
      <c r="BN45" s="303"/>
      <c r="BO45" s="303"/>
      <c r="BP45" s="303"/>
      <c r="BQ45" s="303"/>
      <c r="BR45" s="303"/>
      <c r="BS45" s="303"/>
      <c r="BT45" s="303"/>
      <c r="BU45" s="303"/>
      <c r="BV45" s="303"/>
      <c r="BW45" s="303"/>
      <c r="BX45" s="303"/>
      <c r="BY45" s="303"/>
      <c r="BZ45" s="303"/>
      <c r="CA45" s="303"/>
      <c r="CB45" s="303"/>
      <c r="CC45" s="303"/>
      <c r="CD45" s="303"/>
    </row>
    <row r="46" spans="1:82" x14ac:dyDescent="0.2">
      <c r="A46" s="342"/>
      <c r="B46" s="2" t="s">
        <v>303</v>
      </c>
      <c r="D46" s="303"/>
      <c r="E46" s="46" t="s">
        <v>41</v>
      </c>
      <c r="F46" s="303"/>
      <c r="G46" s="303"/>
      <c r="H46" s="303"/>
      <c r="I46" s="303"/>
      <c r="J46" s="303"/>
      <c r="K46" s="303"/>
      <c r="L46" s="303"/>
      <c r="M46" s="303"/>
      <c r="N46" s="303"/>
      <c r="O46" s="303"/>
      <c r="P46" s="303"/>
      <c r="Q46" s="303"/>
      <c r="R46" s="303"/>
      <c r="S46" s="303"/>
      <c r="T46" s="303"/>
      <c r="U46" s="303"/>
      <c r="V46" s="303"/>
      <c r="W46" s="303"/>
      <c r="X46" s="303"/>
      <c r="Y46" s="303"/>
      <c r="Z46" s="303"/>
      <c r="AA46" s="303"/>
      <c r="AB46" s="303"/>
      <c r="AC46" s="303"/>
      <c r="AD46" s="303"/>
      <c r="AE46" s="303"/>
      <c r="AF46" s="303"/>
      <c r="AG46" s="303"/>
      <c r="AH46" s="303"/>
      <c r="AI46" s="303"/>
      <c r="AJ46" s="303"/>
      <c r="AK46" s="303"/>
      <c r="AL46" s="303"/>
      <c r="AM46" s="303"/>
      <c r="AN46" s="303"/>
      <c r="AO46" s="303"/>
      <c r="AP46" s="303"/>
      <c r="AQ46" s="303"/>
      <c r="AR46" s="303"/>
      <c r="AS46" s="303"/>
      <c r="AT46" s="303"/>
      <c r="AU46" s="303"/>
      <c r="AV46" s="303"/>
      <c r="AW46" s="303"/>
      <c r="AX46" s="303"/>
      <c r="AY46" s="303"/>
      <c r="AZ46" s="303"/>
      <c r="BA46" s="303"/>
      <c r="BB46" s="303"/>
      <c r="BC46" s="303"/>
      <c r="BD46" s="303"/>
      <c r="BE46" s="303"/>
      <c r="BF46" s="303"/>
      <c r="BG46" s="303"/>
      <c r="BH46" s="303"/>
      <c r="BI46" s="303"/>
      <c r="BJ46" s="303"/>
      <c r="BK46" s="303"/>
      <c r="BL46" s="303"/>
      <c r="BM46" s="303"/>
      <c r="BN46" s="303"/>
      <c r="BO46" s="303"/>
      <c r="BP46" s="303"/>
      <c r="BQ46" s="303"/>
      <c r="BR46" s="303"/>
      <c r="BS46" s="303"/>
      <c r="BT46" s="303"/>
      <c r="BU46" s="303"/>
      <c r="BV46" s="303"/>
      <c r="BW46" s="303"/>
      <c r="BX46" s="303"/>
      <c r="BY46" s="303"/>
      <c r="BZ46" s="303"/>
      <c r="CA46" s="303"/>
      <c r="CB46" s="303"/>
      <c r="CC46" s="303"/>
      <c r="CD46" s="303"/>
    </row>
    <row r="47" spans="1:82" x14ac:dyDescent="0.2">
      <c r="A47" s="342"/>
      <c r="B47" s="2" t="s">
        <v>304</v>
      </c>
      <c r="D47" s="303"/>
      <c r="E47" s="46" t="s">
        <v>305</v>
      </c>
      <c r="F47" s="303"/>
      <c r="G47" s="303"/>
      <c r="H47" s="303"/>
      <c r="I47" s="303"/>
      <c r="J47" s="303"/>
      <c r="K47" s="303"/>
      <c r="L47" s="303"/>
      <c r="M47" s="303"/>
      <c r="N47" s="303"/>
      <c r="O47" s="303"/>
      <c r="P47" s="303"/>
      <c r="Q47" s="303"/>
      <c r="R47" s="303"/>
      <c r="S47" s="303"/>
      <c r="T47" s="303"/>
      <c r="U47" s="303"/>
      <c r="V47" s="303"/>
      <c r="W47" s="303"/>
      <c r="X47" s="303"/>
      <c r="Y47" s="303"/>
      <c r="Z47" s="303"/>
      <c r="AA47" s="303"/>
      <c r="AB47" s="303"/>
      <c r="AC47" s="303"/>
      <c r="AD47" s="303"/>
      <c r="AE47" s="303"/>
      <c r="AF47" s="303"/>
      <c r="AG47" s="303"/>
      <c r="AH47" s="303"/>
      <c r="AI47" s="303"/>
      <c r="AJ47" s="303"/>
      <c r="AK47" s="303"/>
      <c r="AL47" s="303"/>
      <c r="AM47" s="303"/>
      <c r="AN47" s="303"/>
      <c r="AO47" s="303"/>
      <c r="AP47" s="303"/>
      <c r="AQ47" s="303"/>
      <c r="AR47" s="303"/>
      <c r="AS47" s="303"/>
      <c r="AT47" s="303"/>
      <c r="AU47" s="303"/>
      <c r="AV47" s="303"/>
      <c r="AW47" s="303"/>
      <c r="AX47" s="303"/>
      <c r="AY47" s="303"/>
      <c r="AZ47" s="303"/>
      <c r="BA47" s="303"/>
      <c r="BB47" s="303"/>
      <c r="BC47" s="303"/>
      <c r="BD47" s="303"/>
      <c r="BE47" s="303"/>
      <c r="BF47" s="303"/>
      <c r="BG47" s="303"/>
      <c r="BH47" s="303"/>
      <c r="BI47" s="303"/>
      <c r="BJ47" s="303"/>
      <c r="BK47" s="303"/>
      <c r="BL47" s="303"/>
      <c r="BM47" s="303"/>
      <c r="BN47" s="303"/>
      <c r="BO47" s="303"/>
      <c r="BP47" s="303"/>
      <c r="BQ47" s="303"/>
      <c r="BR47" s="303"/>
      <c r="BS47" s="303"/>
      <c r="BT47" s="303"/>
      <c r="BU47" s="303"/>
      <c r="BV47" s="303"/>
      <c r="BW47" s="303"/>
      <c r="BX47" s="303"/>
      <c r="BY47" s="303"/>
      <c r="BZ47" s="303"/>
      <c r="CA47" s="303"/>
      <c r="CB47" s="303"/>
      <c r="CC47" s="303"/>
      <c r="CD47" s="303"/>
    </row>
    <row r="48" spans="1:82" x14ac:dyDescent="0.2">
      <c r="A48" s="342"/>
      <c r="B48" s="2" t="s">
        <v>306</v>
      </c>
      <c r="D48" s="303"/>
      <c r="E48" s="46" t="s">
        <v>977</v>
      </c>
      <c r="F48" s="303"/>
      <c r="G48" s="303"/>
      <c r="H48" s="303"/>
      <c r="I48" s="303"/>
      <c r="J48" s="303"/>
      <c r="K48" s="303"/>
      <c r="L48" s="303"/>
      <c r="M48" s="303"/>
      <c r="N48" s="303"/>
      <c r="O48" s="303"/>
      <c r="P48" s="303"/>
      <c r="Q48" s="303"/>
      <c r="R48" s="303"/>
      <c r="S48" s="303"/>
      <c r="T48" s="303"/>
      <c r="U48" s="303"/>
      <c r="V48" s="303"/>
      <c r="W48" s="303"/>
      <c r="X48" s="303"/>
      <c r="Y48" s="303"/>
      <c r="Z48" s="303"/>
      <c r="AA48" s="303"/>
      <c r="AB48" s="303"/>
      <c r="AC48" s="303"/>
      <c r="AD48" s="303"/>
      <c r="AE48" s="303"/>
      <c r="AF48" s="303"/>
      <c r="AG48" s="303"/>
      <c r="AH48" s="303"/>
      <c r="AI48" s="303"/>
      <c r="AJ48" s="303"/>
      <c r="AK48" s="303"/>
      <c r="AL48" s="303"/>
      <c r="AM48" s="303"/>
      <c r="AN48" s="303"/>
      <c r="AO48" s="303"/>
      <c r="AP48" s="303"/>
      <c r="AQ48" s="303"/>
      <c r="AR48" s="303"/>
      <c r="AS48" s="303"/>
      <c r="AT48" s="303"/>
      <c r="AU48" s="303"/>
      <c r="AV48" s="303"/>
      <c r="AW48" s="303"/>
      <c r="AX48" s="303"/>
      <c r="AY48" s="303"/>
      <c r="AZ48" s="303"/>
      <c r="BA48" s="303"/>
      <c r="BB48" s="303"/>
      <c r="BC48" s="303"/>
      <c r="BD48" s="303"/>
      <c r="BE48" s="303"/>
      <c r="BF48" s="303"/>
      <c r="BG48" s="303"/>
      <c r="BH48" s="303"/>
      <c r="BI48" s="303"/>
      <c r="BJ48" s="303"/>
      <c r="BK48" s="303"/>
      <c r="BL48" s="303"/>
      <c r="BM48" s="303"/>
      <c r="BN48" s="303"/>
      <c r="BO48" s="303"/>
      <c r="BP48" s="303"/>
      <c r="BQ48" s="303"/>
      <c r="BR48" s="303"/>
      <c r="BS48" s="303"/>
      <c r="BT48" s="303"/>
      <c r="BU48" s="303"/>
      <c r="BV48" s="303"/>
      <c r="BW48" s="303"/>
      <c r="BX48" s="303"/>
      <c r="BY48" s="303"/>
      <c r="BZ48" s="303"/>
      <c r="CA48" s="303"/>
      <c r="CB48" s="303"/>
      <c r="CC48" s="303"/>
      <c r="CD48" s="303"/>
    </row>
    <row r="49" spans="1:105" x14ac:dyDescent="0.2">
      <c r="A49" s="342"/>
      <c r="B49" s="2" t="s">
        <v>308</v>
      </c>
      <c r="D49" s="303"/>
      <c r="E49" s="1">
        <v>6</v>
      </c>
      <c r="F49" s="303"/>
      <c r="G49" s="303"/>
      <c r="H49" s="303"/>
      <c r="I49" s="303"/>
      <c r="J49" s="303"/>
      <c r="K49" s="303"/>
      <c r="L49" s="303"/>
      <c r="M49" s="303"/>
      <c r="N49" s="303"/>
      <c r="O49" s="303"/>
      <c r="P49" s="303"/>
      <c r="Q49" s="303"/>
      <c r="R49" s="303"/>
      <c r="S49" s="303"/>
      <c r="T49" s="303"/>
      <c r="U49" s="303"/>
      <c r="V49" s="303"/>
      <c r="W49" s="303"/>
      <c r="X49" s="303"/>
      <c r="Y49" s="303"/>
      <c r="Z49" s="303"/>
      <c r="AA49" s="303"/>
      <c r="AB49" s="303"/>
      <c r="AC49" s="303"/>
      <c r="AD49" s="303"/>
      <c r="AE49" s="303"/>
      <c r="AF49" s="303"/>
      <c r="AG49" s="303"/>
      <c r="AH49" s="303"/>
      <c r="AI49" s="303"/>
      <c r="AJ49" s="303"/>
      <c r="AK49" s="303"/>
      <c r="AL49" s="303"/>
      <c r="AM49" s="303"/>
      <c r="AN49" s="303"/>
      <c r="AO49" s="303"/>
      <c r="AP49" s="303"/>
      <c r="AQ49" s="303"/>
      <c r="AR49" s="303"/>
      <c r="AS49" s="303"/>
      <c r="AT49" s="303"/>
      <c r="AU49" s="303"/>
      <c r="AV49" s="303"/>
      <c r="AW49" s="303"/>
      <c r="AX49" s="303"/>
      <c r="AY49" s="303"/>
      <c r="AZ49" s="303"/>
      <c r="BA49" s="303"/>
      <c r="BB49" s="303"/>
      <c r="BC49" s="303"/>
      <c r="BD49" s="303"/>
      <c r="BE49" s="303"/>
      <c r="BF49" s="303"/>
      <c r="BG49" s="303"/>
      <c r="BH49" s="303"/>
      <c r="BI49" s="303"/>
      <c r="BJ49" s="303"/>
      <c r="BK49" s="303"/>
      <c r="BL49" s="303"/>
      <c r="BM49" s="303"/>
      <c r="BN49" s="303"/>
      <c r="BO49" s="303"/>
      <c r="BP49" s="303"/>
      <c r="BQ49" s="303"/>
      <c r="BR49" s="303"/>
      <c r="BS49" s="303"/>
      <c r="BT49" s="303"/>
      <c r="BU49" s="303"/>
      <c r="BV49" s="303"/>
      <c r="BW49" s="303"/>
      <c r="BX49" s="303"/>
      <c r="BY49" s="303"/>
      <c r="BZ49" s="303"/>
      <c r="CA49" s="303"/>
      <c r="CB49" s="303"/>
      <c r="CC49" s="303"/>
      <c r="CD49" s="303"/>
    </row>
    <row r="50" spans="1:105" x14ac:dyDescent="0.2">
      <c r="A50" s="342"/>
      <c r="B50" s="343"/>
      <c r="C50" s="303"/>
      <c r="D50" s="303"/>
      <c r="E50" s="303"/>
      <c r="F50" s="303"/>
      <c r="G50" s="303"/>
      <c r="H50" s="303"/>
      <c r="I50" s="303"/>
      <c r="J50" s="303"/>
      <c r="K50" s="303"/>
      <c r="L50" s="303"/>
      <c r="M50" s="303"/>
      <c r="N50" s="303"/>
      <c r="O50" s="303"/>
      <c r="P50" s="303"/>
      <c r="Q50" s="303"/>
      <c r="R50" s="303"/>
      <c r="S50" s="303"/>
      <c r="T50" s="303"/>
      <c r="U50" s="303"/>
      <c r="V50" s="303"/>
      <c r="W50" s="303"/>
      <c r="X50" s="303"/>
      <c r="Y50" s="303"/>
      <c r="Z50" s="303"/>
      <c r="AA50" s="303"/>
      <c r="AB50" s="303"/>
      <c r="AC50" s="303"/>
      <c r="AD50" s="303"/>
      <c r="AE50" s="303"/>
      <c r="AF50" s="303"/>
      <c r="AG50" s="303"/>
      <c r="AH50" s="303"/>
      <c r="AI50" s="303"/>
      <c r="AJ50" s="303"/>
      <c r="AK50" s="303"/>
      <c r="AL50" s="303"/>
      <c r="AM50" s="303"/>
      <c r="AN50" s="303"/>
      <c r="AO50" s="303"/>
      <c r="AP50" s="303"/>
      <c r="AQ50" s="303"/>
      <c r="AR50" s="303"/>
      <c r="AS50" s="303"/>
      <c r="AT50" s="303"/>
      <c r="AU50" s="303"/>
      <c r="AV50" s="303"/>
      <c r="AW50" s="303"/>
      <c r="AX50" s="303"/>
      <c r="AY50" s="303"/>
      <c r="AZ50" s="303"/>
      <c r="BA50" s="303"/>
      <c r="BB50" s="303"/>
      <c r="BC50" s="303"/>
      <c r="BD50" s="303"/>
      <c r="BE50" s="303"/>
      <c r="BF50" s="303"/>
      <c r="BG50" s="303"/>
      <c r="BH50" s="303"/>
      <c r="BI50" s="303"/>
      <c r="BJ50" s="303"/>
      <c r="BK50" s="303"/>
      <c r="BL50" s="303"/>
      <c r="BM50" s="303"/>
      <c r="BN50" s="303"/>
      <c r="BO50" s="303"/>
      <c r="BP50" s="303"/>
      <c r="BQ50" s="303"/>
      <c r="BR50" s="303"/>
      <c r="BS50" s="303"/>
      <c r="BT50" s="303"/>
      <c r="BU50" s="303"/>
      <c r="BV50" s="303"/>
      <c r="BW50" s="303"/>
      <c r="BX50" s="303"/>
      <c r="BY50" s="303"/>
      <c r="BZ50" s="303"/>
      <c r="CA50" s="303"/>
      <c r="CB50" s="303"/>
      <c r="CC50" s="303"/>
      <c r="CD50" s="303"/>
    </row>
    <row r="51" spans="1:105" x14ac:dyDescent="0.2">
      <c r="A51" s="342"/>
      <c r="B51" s="343"/>
      <c r="C51" s="303"/>
      <c r="D51" s="303"/>
      <c r="E51" s="303"/>
      <c r="F51" s="303"/>
      <c r="G51" s="303"/>
      <c r="H51" s="303"/>
      <c r="I51" s="303"/>
      <c r="J51" s="303"/>
      <c r="K51" s="303"/>
      <c r="L51" s="303"/>
      <c r="M51" s="303"/>
      <c r="N51" s="303"/>
      <c r="O51" s="303"/>
      <c r="P51" s="303"/>
      <c r="Q51" s="303"/>
      <c r="R51" s="303"/>
      <c r="S51" s="303"/>
      <c r="T51" s="303"/>
      <c r="U51" s="303"/>
      <c r="V51" s="303"/>
      <c r="W51" s="303"/>
      <c r="X51" s="303"/>
      <c r="Y51" s="303"/>
      <c r="Z51" s="303"/>
      <c r="AA51" s="303"/>
      <c r="AB51" s="303"/>
      <c r="AC51" s="303"/>
      <c r="AD51" s="303"/>
      <c r="AE51" s="303"/>
      <c r="AF51" s="303"/>
      <c r="AG51" s="303"/>
      <c r="AH51" s="303"/>
      <c r="AI51" s="303"/>
      <c r="AJ51" s="303"/>
      <c r="AK51" s="303"/>
      <c r="AL51" s="303"/>
      <c r="AM51" s="303"/>
      <c r="AN51" s="303"/>
      <c r="AO51" s="303"/>
      <c r="AP51" s="303"/>
      <c r="AQ51" s="303"/>
      <c r="AR51" s="303"/>
      <c r="AS51" s="303"/>
      <c r="AT51" s="303"/>
      <c r="AU51" s="303"/>
      <c r="AV51" s="303"/>
      <c r="AW51" s="303"/>
      <c r="AX51" s="303"/>
      <c r="AY51" s="303"/>
      <c r="AZ51" s="303"/>
      <c r="BA51" s="303"/>
      <c r="BB51" s="303"/>
      <c r="BC51" s="303"/>
      <c r="BD51" s="303"/>
      <c r="BE51" s="303"/>
      <c r="BF51" s="303"/>
      <c r="BG51" s="303"/>
      <c r="BH51" s="303"/>
      <c r="BI51" s="303"/>
      <c r="BJ51" s="303"/>
      <c r="BK51" s="303"/>
      <c r="BL51" s="303"/>
      <c r="BM51" s="303"/>
      <c r="BN51" s="303"/>
      <c r="BO51" s="303"/>
      <c r="BP51" s="303"/>
      <c r="BQ51" s="303"/>
      <c r="BR51" s="303"/>
      <c r="BS51" s="303"/>
      <c r="BT51" s="303"/>
      <c r="BU51" s="303"/>
      <c r="BV51" s="303"/>
      <c r="BW51" s="303"/>
      <c r="BX51" s="303"/>
      <c r="BY51" s="303"/>
      <c r="BZ51" s="303"/>
      <c r="CA51" s="303"/>
      <c r="CB51" s="303"/>
      <c r="CC51" s="303"/>
      <c r="CD51" s="303"/>
    </row>
    <row r="52" spans="1:105" x14ac:dyDescent="0.2">
      <c r="B52" s="200" t="s">
        <v>954</v>
      </c>
      <c r="C52" s="290"/>
      <c r="D52" s="290"/>
      <c r="E52" s="290"/>
      <c r="F52" s="290"/>
      <c r="G52" s="290"/>
      <c r="H52" s="290"/>
      <c r="I52" s="290"/>
      <c r="J52" s="290"/>
      <c r="K52" s="290"/>
      <c r="L52" s="290"/>
      <c r="M52" s="290"/>
      <c r="N52" s="290"/>
      <c r="O52" s="290"/>
      <c r="P52" s="290"/>
      <c r="Q52" s="290"/>
      <c r="R52" s="290"/>
      <c r="S52" s="290"/>
      <c r="T52" s="290"/>
      <c r="U52" s="290"/>
      <c r="V52" s="290"/>
      <c r="W52" s="290"/>
      <c r="X52" s="290"/>
      <c r="Y52" s="290"/>
      <c r="Z52" s="290"/>
      <c r="AA52" s="290"/>
      <c r="AB52" s="290"/>
      <c r="AC52" s="290"/>
      <c r="AD52" s="290"/>
      <c r="AE52" s="290"/>
      <c r="AF52" s="290"/>
      <c r="AG52" s="290"/>
      <c r="AH52" s="290"/>
      <c r="AI52" s="290"/>
      <c r="AJ52" s="290"/>
      <c r="AK52" s="290"/>
      <c r="AL52" s="290"/>
      <c r="AM52" s="290"/>
      <c r="AN52" s="290"/>
      <c r="AO52" s="290"/>
      <c r="AP52" s="290"/>
      <c r="AQ52" s="290"/>
      <c r="AR52" s="290"/>
      <c r="AS52" s="290"/>
      <c r="AT52" s="290"/>
      <c r="AU52" s="290"/>
      <c r="AV52" s="290"/>
      <c r="AW52" s="290"/>
      <c r="AX52" s="290"/>
      <c r="AY52" s="290"/>
      <c r="AZ52" s="290"/>
      <c r="BA52" s="290"/>
      <c r="BB52" s="290"/>
      <c r="BC52" s="290"/>
      <c r="BD52" s="290"/>
      <c r="BE52" s="290"/>
      <c r="BF52" s="290"/>
      <c r="BG52" s="290"/>
      <c r="BH52" s="290"/>
      <c r="BI52" s="290"/>
      <c r="BJ52" s="290"/>
      <c r="BK52" s="290"/>
      <c r="BL52" s="290"/>
      <c r="BM52" s="290"/>
      <c r="BN52" s="290"/>
      <c r="BO52" s="290"/>
      <c r="BP52" s="290"/>
      <c r="BQ52" s="290"/>
      <c r="BR52" s="290"/>
      <c r="BS52" s="303"/>
      <c r="BT52" s="303"/>
      <c r="BU52" s="303"/>
      <c r="BV52" s="303"/>
      <c r="BW52" s="303"/>
      <c r="BX52" s="303"/>
      <c r="BY52" s="303"/>
      <c r="BZ52" s="303"/>
      <c r="CA52" s="303"/>
      <c r="CB52" s="303"/>
      <c r="CC52" s="303"/>
      <c r="CD52" s="303"/>
    </row>
    <row r="53" spans="1:105" x14ac:dyDescent="0.2">
      <c r="B53" s="9"/>
      <c r="X53" s="345"/>
      <c r="Y53" s="345"/>
      <c r="Z53" s="345"/>
      <c r="AA53" s="345"/>
      <c r="AB53" s="345"/>
      <c r="AC53" s="345"/>
      <c r="AD53" s="345"/>
      <c r="AE53" s="345"/>
      <c r="AF53" s="345"/>
      <c r="AG53" s="345"/>
      <c r="AH53" s="345"/>
      <c r="AI53" s="345"/>
      <c r="AJ53" s="345"/>
      <c r="AK53" s="345"/>
      <c r="AL53" s="345"/>
      <c r="AM53" s="345"/>
      <c r="AN53" s="345"/>
      <c r="AO53" s="345"/>
      <c r="AP53" s="345"/>
      <c r="AQ53" s="345"/>
      <c r="AR53" s="345"/>
      <c r="AS53" s="345"/>
      <c r="AT53" s="345"/>
      <c r="AU53" s="345"/>
      <c r="AV53" s="345"/>
      <c r="AW53" s="345"/>
      <c r="AX53" s="345"/>
      <c r="AY53" s="345"/>
      <c r="AZ53" s="345"/>
      <c r="BA53" s="345"/>
      <c r="BB53" s="345"/>
      <c r="BC53" s="345"/>
      <c r="BD53" s="345"/>
      <c r="BE53" s="345"/>
      <c r="BF53" s="345"/>
      <c r="BG53" s="345"/>
      <c r="BH53" s="345"/>
      <c r="BI53" s="345"/>
      <c r="BJ53" s="345"/>
      <c r="BK53" s="345"/>
      <c r="BL53" s="345"/>
      <c r="BM53" s="345"/>
      <c r="BN53" s="345"/>
      <c r="BO53" s="345"/>
      <c r="BP53" s="345"/>
      <c r="BQ53" s="345"/>
      <c r="BR53" s="345"/>
      <c r="BS53" s="303"/>
      <c r="BT53" s="303"/>
      <c r="BU53" s="303"/>
      <c r="BV53" s="303"/>
      <c r="BW53" s="303"/>
      <c r="BX53" s="303"/>
      <c r="BY53" s="303"/>
      <c r="BZ53" s="303"/>
      <c r="CA53" s="303"/>
      <c r="CB53" s="303"/>
      <c r="CC53" s="303"/>
      <c r="CD53" s="303"/>
    </row>
    <row r="54" spans="1:105" x14ac:dyDescent="0.2">
      <c r="B54" s="206" t="s">
        <v>1053</v>
      </c>
      <c r="C54" s="340"/>
      <c r="D54" s="340"/>
      <c r="E54" s="340"/>
      <c r="X54" s="303"/>
      <c r="Y54" s="303"/>
      <c r="Z54" s="303"/>
      <c r="AA54" s="303"/>
      <c r="AB54" s="303"/>
      <c r="AC54" s="303"/>
      <c r="AD54" s="303"/>
      <c r="AE54" s="303"/>
      <c r="AF54" s="303"/>
      <c r="AG54" s="303"/>
      <c r="AH54" s="303"/>
      <c r="AI54" s="303"/>
      <c r="AJ54" s="303"/>
      <c r="AK54" s="303"/>
      <c r="AL54" s="303"/>
      <c r="AM54" s="303"/>
      <c r="AN54" s="303"/>
      <c r="AO54" s="303"/>
      <c r="AP54" s="303"/>
      <c r="AQ54" s="303"/>
      <c r="AR54" s="303"/>
      <c r="AS54" s="303"/>
      <c r="AT54" s="303"/>
      <c r="AU54" s="303"/>
      <c r="AV54" s="303"/>
      <c r="AW54" s="303"/>
      <c r="AX54" s="303"/>
      <c r="AY54" s="303"/>
      <c r="AZ54" s="303"/>
      <c r="BA54" s="303"/>
      <c r="BB54" s="303"/>
      <c r="BC54" s="303"/>
      <c r="BD54" s="303"/>
      <c r="BE54" s="303"/>
      <c r="BF54" s="303"/>
      <c r="BG54" s="303"/>
      <c r="BH54" s="303"/>
      <c r="BI54" s="303"/>
      <c r="BJ54" s="303"/>
      <c r="BK54" s="303"/>
      <c r="BL54" s="303"/>
      <c r="BM54" s="303"/>
      <c r="BN54" s="303"/>
      <c r="BO54" s="303"/>
      <c r="BP54" s="303"/>
      <c r="BQ54" s="303"/>
      <c r="BR54" s="303"/>
      <c r="BS54" s="303"/>
      <c r="BT54" s="303"/>
      <c r="BU54" s="303"/>
      <c r="BV54" s="303"/>
      <c r="BW54" s="303"/>
      <c r="BX54" s="303"/>
      <c r="BY54" s="303"/>
      <c r="BZ54" s="303"/>
      <c r="CA54" s="303"/>
      <c r="CB54" s="303"/>
      <c r="CC54" s="303"/>
      <c r="CD54" s="303"/>
    </row>
    <row r="55" spans="1:105" x14ac:dyDescent="0.2">
      <c r="B55" s="355"/>
      <c r="Y55" s="303"/>
      <c r="Z55" s="303"/>
      <c r="AA55" s="303"/>
      <c r="AB55" s="303"/>
      <c r="AC55" s="303"/>
      <c r="AD55" s="303"/>
      <c r="AE55" s="303"/>
      <c r="AF55" s="303"/>
      <c r="AG55" s="303"/>
      <c r="AH55" s="303"/>
      <c r="AI55" s="303"/>
      <c r="AJ55" s="303"/>
      <c r="AK55" s="303"/>
      <c r="AL55" s="303"/>
      <c r="AM55" s="303"/>
      <c r="AN55" s="303"/>
      <c r="AO55" s="303"/>
      <c r="AP55" s="303"/>
      <c r="AQ55" s="303"/>
      <c r="AR55" s="303"/>
      <c r="AS55" s="303"/>
      <c r="AT55" s="303"/>
      <c r="AU55" s="303"/>
      <c r="AV55" s="303"/>
      <c r="AW55" s="303"/>
      <c r="AX55" s="303"/>
      <c r="AY55" s="303"/>
      <c r="AZ55" s="303"/>
      <c r="BA55" s="303"/>
      <c r="BB55" s="303"/>
      <c r="BC55" s="303"/>
      <c r="BD55" s="303"/>
      <c r="BE55" s="303"/>
      <c r="BF55" s="303"/>
      <c r="BG55" s="303"/>
      <c r="BH55" s="303"/>
      <c r="BI55" s="303"/>
      <c r="BJ55" s="303"/>
      <c r="BK55" s="303"/>
      <c r="BL55" s="303"/>
      <c r="BM55" s="303"/>
      <c r="BN55" s="303"/>
      <c r="BO55" s="303"/>
      <c r="BP55" s="303"/>
      <c r="BQ55" s="303"/>
      <c r="BR55" s="303"/>
      <c r="BS55" s="303"/>
      <c r="BT55" s="303"/>
      <c r="BU55" s="303"/>
      <c r="BV55" s="303"/>
      <c r="BW55" s="303"/>
      <c r="BX55" s="303"/>
      <c r="BY55" s="303"/>
      <c r="BZ55" s="303"/>
      <c r="CA55" s="303"/>
      <c r="CB55" s="303"/>
      <c r="CC55" s="303"/>
      <c r="CD55" s="303"/>
    </row>
    <row r="56" spans="1:105" x14ac:dyDescent="0.2">
      <c r="C56" s="355" t="s">
        <v>955</v>
      </c>
      <c r="E56" s="356"/>
      <c r="F56" s="356"/>
      <c r="I56" s="355" t="s">
        <v>955</v>
      </c>
      <c r="K56" s="356"/>
      <c r="L56" s="356"/>
      <c r="O56" s="355" t="s">
        <v>955</v>
      </c>
      <c r="Q56" s="356"/>
      <c r="R56" s="356"/>
      <c r="U56" s="355" t="s">
        <v>942</v>
      </c>
      <c r="W56" s="356"/>
      <c r="X56" s="356"/>
      <c r="Y56" s="303"/>
      <c r="Z56" s="303"/>
      <c r="AA56" s="303"/>
      <c r="AB56" s="303"/>
      <c r="AC56" s="303"/>
      <c r="AD56" s="303"/>
      <c r="AE56" s="303"/>
      <c r="AF56" s="303"/>
      <c r="AG56" s="303"/>
      <c r="AH56" s="303"/>
      <c r="AI56" s="303"/>
      <c r="AJ56" s="303"/>
      <c r="AK56" s="303"/>
      <c r="AL56" s="303"/>
      <c r="AM56" s="303"/>
      <c r="AN56" s="303"/>
      <c r="AO56" s="303"/>
      <c r="AP56" s="303"/>
      <c r="AQ56" s="303"/>
      <c r="AR56" s="303"/>
      <c r="AS56" s="303"/>
      <c r="AT56" s="303"/>
      <c r="AU56" s="303"/>
      <c r="AV56" s="303"/>
      <c r="AW56" s="303"/>
      <c r="AX56" s="303"/>
      <c r="AY56" s="303"/>
      <c r="AZ56" s="303"/>
      <c r="BA56" s="303"/>
      <c r="BB56" s="303"/>
      <c r="BC56" s="303"/>
      <c r="BD56" s="303"/>
      <c r="BE56" s="303"/>
      <c r="BF56" s="303"/>
      <c r="BG56" s="303"/>
      <c r="BH56" s="303"/>
      <c r="BI56" s="303"/>
      <c r="BJ56" s="303"/>
      <c r="BK56" s="303"/>
      <c r="BL56" s="303"/>
      <c r="BM56" s="303"/>
      <c r="BN56" s="303"/>
      <c r="BO56" s="303"/>
      <c r="BP56" s="303"/>
      <c r="BQ56" s="303"/>
      <c r="BR56" s="303"/>
      <c r="BS56" s="303"/>
      <c r="BT56" s="303"/>
      <c r="BU56" s="303"/>
      <c r="BV56" s="303"/>
      <c r="BW56" s="303"/>
      <c r="BX56" s="303"/>
      <c r="BY56" s="303"/>
      <c r="BZ56" s="303"/>
      <c r="CA56" s="303"/>
      <c r="CB56" s="303"/>
      <c r="CC56" s="303"/>
      <c r="CD56" s="303"/>
      <c r="CE56" s="303"/>
      <c r="CF56" s="303"/>
      <c r="CG56" s="303"/>
      <c r="CH56" s="303"/>
      <c r="CI56" s="303"/>
      <c r="CJ56" s="303"/>
      <c r="CK56" s="303"/>
      <c r="CL56" s="303"/>
      <c r="CM56" s="303"/>
      <c r="CN56" s="303"/>
      <c r="CO56" s="303"/>
      <c r="CP56" s="303"/>
      <c r="CQ56" s="303"/>
      <c r="CR56" s="303"/>
      <c r="CS56" s="303"/>
      <c r="CT56" s="303"/>
      <c r="CU56" s="303"/>
      <c r="CV56" s="303"/>
      <c r="CW56" s="303"/>
      <c r="CX56" s="303"/>
      <c r="CY56" s="303"/>
      <c r="CZ56" s="303"/>
      <c r="DA56" s="303"/>
    </row>
    <row r="57" spans="1:105" x14ac:dyDescent="0.2">
      <c r="B57" s="445" t="s">
        <v>980</v>
      </c>
      <c r="C57" s="357" t="s">
        <v>298</v>
      </c>
      <c r="D57" s="357" t="s">
        <v>943</v>
      </c>
      <c r="E57" s="357" t="s">
        <v>944</v>
      </c>
      <c r="F57" s="357" t="s">
        <v>945</v>
      </c>
      <c r="H57" s="445" t="s">
        <v>194</v>
      </c>
      <c r="I57" s="357" t="s">
        <v>298</v>
      </c>
      <c r="J57" s="357" t="s">
        <v>943</v>
      </c>
      <c r="K57" s="357" t="s">
        <v>944</v>
      </c>
      <c r="L57" s="357" t="s">
        <v>945</v>
      </c>
      <c r="N57" s="445" t="s">
        <v>197</v>
      </c>
      <c r="O57" s="357" t="s">
        <v>298</v>
      </c>
      <c r="P57" s="357" t="s">
        <v>943</v>
      </c>
      <c r="Q57" s="357" t="s">
        <v>944</v>
      </c>
      <c r="R57" s="357" t="s">
        <v>945</v>
      </c>
      <c r="T57" s="445" t="s">
        <v>200</v>
      </c>
      <c r="U57" s="357" t="s">
        <v>298</v>
      </c>
      <c r="V57" s="357" t="s">
        <v>943</v>
      </c>
      <c r="W57" s="357" t="s">
        <v>944</v>
      </c>
      <c r="X57" s="357" t="s">
        <v>945</v>
      </c>
      <c r="Y57" s="290"/>
      <c r="Z57" s="290"/>
      <c r="AA57" s="290"/>
      <c r="AB57" s="290"/>
      <c r="AC57" s="290"/>
      <c r="AD57" s="290"/>
      <c r="AE57" s="290"/>
      <c r="AF57" s="290"/>
      <c r="AG57" s="290"/>
      <c r="AH57" s="290"/>
      <c r="AI57" s="290"/>
      <c r="AJ57" s="290"/>
      <c r="AK57" s="290"/>
      <c r="AL57" s="290"/>
      <c r="AM57" s="290"/>
      <c r="AN57" s="290"/>
      <c r="AO57" s="290"/>
      <c r="AP57" s="290"/>
      <c r="AQ57" s="290"/>
      <c r="AR57" s="290"/>
      <c r="AS57" s="290"/>
      <c r="AT57" s="290"/>
      <c r="AU57" s="290"/>
      <c r="AV57" s="290"/>
      <c r="AW57" s="290"/>
      <c r="AX57" s="290"/>
      <c r="AY57" s="290"/>
      <c r="AZ57" s="290"/>
      <c r="BA57" s="290"/>
      <c r="BB57" s="290"/>
      <c r="BC57" s="290"/>
      <c r="BD57" s="290"/>
      <c r="BE57" s="290"/>
      <c r="BF57" s="290"/>
      <c r="BG57" s="290"/>
      <c r="BH57" s="290"/>
      <c r="BI57" s="290"/>
      <c r="BJ57" s="290"/>
      <c r="BK57" s="290"/>
      <c r="BL57" s="290"/>
      <c r="BM57" s="290"/>
      <c r="BN57" s="290"/>
      <c r="BO57" s="290"/>
      <c r="BP57" s="290"/>
      <c r="BQ57" s="290"/>
      <c r="BR57" s="290"/>
      <c r="BS57" s="290"/>
      <c r="BT57" s="290"/>
      <c r="BU57" s="290"/>
      <c r="BV57" s="290"/>
      <c r="BW57" s="290"/>
      <c r="BX57" s="290"/>
      <c r="BY57" s="290"/>
      <c r="BZ57" s="290"/>
      <c r="CA57" s="290"/>
      <c r="CB57" s="290"/>
      <c r="CC57" s="290"/>
      <c r="CD57" s="290"/>
      <c r="CE57" s="290"/>
      <c r="CF57" s="290"/>
      <c r="CG57" s="290"/>
      <c r="CH57" s="290"/>
      <c r="CI57" s="290"/>
      <c r="CJ57" s="290"/>
      <c r="CK57" s="290"/>
      <c r="CL57" s="290"/>
      <c r="CM57" s="290"/>
      <c r="CN57" s="290"/>
      <c r="CO57" s="290"/>
      <c r="CP57" s="290"/>
      <c r="CQ57" s="290"/>
      <c r="CR57" s="290"/>
      <c r="CS57" s="290"/>
      <c r="CT57" s="290"/>
      <c r="CU57" s="290"/>
      <c r="CV57" s="290"/>
      <c r="CW57" s="290"/>
      <c r="CX57" s="290"/>
      <c r="CY57" s="290"/>
      <c r="CZ57" s="290"/>
      <c r="DA57" s="303"/>
    </row>
    <row r="58" spans="1:105" x14ac:dyDescent="0.2">
      <c r="B58" s="440" t="s">
        <v>957</v>
      </c>
      <c r="C58" s="358" t="s">
        <v>946</v>
      </c>
      <c r="D58" s="358" t="s">
        <v>946</v>
      </c>
      <c r="E58" s="358" t="s">
        <v>946</v>
      </c>
      <c r="F58" s="358" t="s">
        <v>946</v>
      </c>
      <c r="H58" s="440" t="s">
        <v>957</v>
      </c>
      <c r="I58" s="358" t="s">
        <v>946</v>
      </c>
      <c r="J58" s="358" t="s">
        <v>946</v>
      </c>
      <c r="K58" s="358" t="s">
        <v>946</v>
      </c>
      <c r="L58" s="358" t="s">
        <v>946</v>
      </c>
      <c r="N58" s="440" t="s">
        <v>957</v>
      </c>
      <c r="O58" s="358" t="s">
        <v>946</v>
      </c>
      <c r="P58" s="358" t="s">
        <v>946</v>
      </c>
      <c r="Q58" s="358" t="s">
        <v>946</v>
      </c>
      <c r="R58" s="358" t="s">
        <v>946</v>
      </c>
      <c r="T58" s="440" t="s">
        <v>957</v>
      </c>
      <c r="U58" s="359" t="s">
        <v>946</v>
      </c>
      <c r="V58" s="359" t="s">
        <v>946</v>
      </c>
      <c r="W58" s="359" t="s">
        <v>946</v>
      </c>
      <c r="X58" s="359" t="s">
        <v>946</v>
      </c>
      <c r="Y58" s="360"/>
      <c r="Z58" s="360"/>
      <c r="AA58" s="360"/>
      <c r="AB58" s="360"/>
      <c r="AC58" s="360"/>
      <c r="AD58" s="360"/>
      <c r="AE58" s="360"/>
      <c r="AF58" s="360"/>
      <c r="AG58" s="360"/>
      <c r="AH58" s="360"/>
      <c r="AI58" s="360"/>
      <c r="AJ58" s="360"/>
      <c r="AK58" s="360"/>
      <c r="AL58" s="360"/>
      <c r="AM58" s="360"/>
      <c r="AN58" s="360"/>
      <c r="AO58" s="360"/>
      <c r="AP58" s="360"/>
      <c r="AQ58" s="360"/>
      <c r="AR58" s="360"/>
      <c r="AS58" s="360"/>
      <c r="AT58" s="360"/>
      <c r="AU58" s="360"/>
      <c r="AV58" s="360"/>
      <c r="AW58" s="360"/>
      <c r="AX58" s="360"/>
      <c r="AY58" s="360"/>
      <c r="AZ58" s="360"/>
      <c r="BA58" s="360"/>
      <c r="BB58" s="360"/>
      <c r="BC58" s="360"/>
      <c r="BD58" s="360"/>
      <c r="BE58" s="360"/>
      <c r="BF58" s="360"/>
      <c r="BG58" s="360"/>
      <c r="BH58" s="360"/>
      <c r="BI58" s="360"/>
      <c r="BJ58" s="360"/>
      <c r="BK58" s="360"/>
      <c r="BL58" s="360"/>
      <c r="BM58" s="360"/>
      <c r="BN58" s="360"/>
      <c r="BO58" s="360"/>
      <c r="BP58" s="360"/>
      <c r="BQ58" s="360"/>
      <c r="BR58" s="360"/>
      <c r="BS58" s="360"/>
      <c r="BT58" s="360"/>
      <c r="BU58" s="360"/>
      <c r="BV58" s="360"/>
      <c r="BW58" s="360"/>
      <c r="BX58" s="360"/>
      <c r="BY58" s="360"/>
      <c r="BZ58" s="360"/>
      <c r="CA58" s="360"/>
      <c r="CB58" s="360"/>
      <c r="CC58" s="360"/>
      <c r="CD58" s="360"/>
      <c r="CE58" s="360"/>
      <c r="CF58" s="360"/>
      <c r="CG58" s="360"/>
      <c r="CH58" s="360"/>
      <c r="CI58" s="360"/>
      <c r="CJ58" s="360"/>
      <c r="CK58" s="360"/>
      <c r="CL58" s="360"/>
      <c r="CM58" s="360"/>
      <c r="CN58" s="360"/>
      <c r="CO58" s="360"/>
      <c r="CP58" s="360"/>
      <c r="CQ58" s="360"/>
      <c r="CR58" s="360"/>
      <c r="CS58" s="360"/>
      <c r="CT58" s="360"/>
      <c r="CU58" s="360"/>
      <c r="CV58" s="360"/>
      <c r="CW58" s="361"/>
      <c r="CX58" s="360"/>
      <c r="CY58" s="360"/>
      <c r="CZ58" s="360"/>
      <c r="DA58" s="303"/>
    </row>
    <row r="59" spans="1:105" x14ac:dyDescent="0.2">
      <c r="B59" s="441">
        <v>1</v>
      </c>
      <c r="C59" s="362">
        <v>1</v>
      </c>
      <c r="D59" s="362">
        <v>1</v>
      </c>
      <c r="E59" s="362">
        <v>1</v>
      </c>
      <c r="F59" s="362">
        <v>1</v>
      </c>
      <c r="H59" s="441">
        <v>1</v>
      </c>
      <c r="I59" s="362">
        <v>1</v>
      </c>
      <c r="J59" s="362">
        <v>1</v>
      </c>
      <c r="K59" s="362">
        <v>1</v>
      </c>
      <c r="L59" s="362">
        <v>1</v>
      </c>
      <c r="M59" s="363"/>
      <c r="N59" s="441">
        <v>1</v>
      </c>
      <c r="O59" s="362">
        <v>1</v>
      </c>
      <c r="P59" s="362">
        <v>1</v>
      </c>
      <c r="Q59" s="362"/>
      <c r="R59" s="362"/>
      <c r="S59" s="363"/>
      <c r="T59" s="441">
        <v>1</v>
      </c>
      <c r="U59" s="364">
        <v>1</v>
      </c>
      <c r="V59" s="364">
        <v>1</v>
      </c>
      <c r="W59" s="364"/>
      <c r="X59" s="364"/>
      <c r="Y59" s="303"/>
      <c r="Z59" s="303"/>
      <c r="AA59" s="303"/>
      <c r="AB59" s="303"/>
      <c r="AC59" s="303"/>
      <c r="AD59" s="303"/>
      <c r="AE59" s="303"/>
      <c r="AF59" s="303"/>
      <c r="AG59" s="303"/>
      <c r="AH59" s="303"/>
      <c r="AI59" s="303"/>
      <c r="AJ59" s="303"/>
      <c r="AK59" s="303"/>
      <c r="AL59" s="303"/>
      <c r="AM59" s="303"/>
      <c r="AN59" s="303"/>
      <c r="AO59" s="303"/>
      <c r="AP59" s="303"/>
      <c r="AQ59" s="303"/>
      <c r="AR59" s="303"/>
      <c r="AS59" s="303"/>
      <c r="AT59" s="303"/>
      <c r="AU59" s="303"/>
      <c r="AV59" s="303"/>
      <c r="AW59" s="303"/>
      <c r="AX59" s="303"/>
      <c r="AY59" s="303"/>
      <c r="AZ59" s="303"/>
      <c r="BA59" s="303"/>
      <c r="BB59" s="303"/>
      <c r="BC59" s="303"/>
      <c r="BD59" s="303"/>
      <c r="BE59" s="303"/>
      <c r="BF59" s="303"/>
      <c r="BG59" s="303"/>
      <c r="BH59" s="303"/>
      <c r="BI59" s="303"/>
      <c r="BJ59" s="303"/>
      <c r="BK59" s="303"/>
      <c r="BL59" s="303"/>
      <c r="BM59" s="303"/>
      <c r="BN59" s="303"/>
      <c r="BO59" s="303"/>
      <c r="BP59" s="303"/>
      <c r="BQ59" s="303"/>
      <c r="BR59" s="303"/>
      <c r="BS59" s="303"/>
      <c r="BT59" s="303"/>
      <c r="BU59" s="303"/>
      <c r="BV59" s="303"/>
      <c r="BW59" s="303"/>
      <c r="BX59" s="303"/>
      <c r="BY59" s="303"/>
      <c r="BZ59" s="303"/>
      <c r="CA59" s="303"/>
      <c r="CB59" s="303"/>
      <c r="CC59" s="303"/>
      <c r="CD59" s="303"/>
      <c r="CE59" s="303"/>
      <c r="CF59" s="303"/>
      <c r="CG59" s="303"/>
      <c r="CH59" s="303"/>
      <c r="CI59" s="303"/>
      <c r="CJ59" s="303"/>
      <c r="CK59" s="303"/>
      <c r="CL59" s="303"/>
      <c r="CM59" s="303"/>
      <c r="CN59" s="303"/>
      <c r="CO59" s="303"/>
      <c r="CP59" s="303"/>
      <c r="CQ59" s="303"/>
      <c r="CR59" s="303"/>
      <c r="CS59" s="303"/>
      <c r="CT59" s="303"/>
      <c r="CU59" s="303"/>
      <c r="CV59" s="303"/>
      <c r="CW59" s="303"/>
      <c r="CX59" s="303"/>
      <c r="CY59" s="303"/>
      <c r="CZ59" s="303"/>
      <c r="DA59" s="303"/>
    </row>
    <row r="60" spans="1:105" x14ac:dyDescent="0.2">
      <c r="B60" s="441">
        <v>2</v>
      </c>
      <c r="C60" s="362">
        <v>1</v>
      </c>
      <c r="D60" s="362">
        <v>1</v>
      </c>
      <c r="E60" s="362">
        <v>1</v>
      </c>
      <c r="F60" s="362">
        <v>1</v>
      </c>
      <c r="H60" s="441">
        <v>2</v>
      </c>
      <c r="I60" s="362">
        <v>1</v>
      </c>
      <c r="J60" s="362">
        <v>1</v>
      </c>
      <c r="K60" s="362">
        <v>1</v>
      </c>
      <c r="L60" s="362">
        <v>1</v>
      </c>
      <c r="M60" s="363"/>
      <c r="N60" s="441">
        <v>2</v>
      </c>
      <c r="O60" s="362">
        <v>1</v>
      </c>
      <c r="P60" s="362">
        <v>1</v>
      </c>
      <c r="Q60" s="362"/>
      <c r="R60" s="362"/>
      <c r="S60" s="363"/>
      <c r="T60" s="441">
        <v>2</v>
      </c>
      <c r="U60" s="364">
        <v>1</v>
      </c>
      <c r="V60" s="364">
        <v>1</v>
      </c>
      <c r="W60" s="364"/>
      <c r="X60" s="364"/>
      <c r="BQ60" s="303"/>
      <c r="BR60" s="303"/>
      <c r="BS60" s="303"/>
      <c r="BT60" s="303"/>
      <c r="BU60" s="303"/>
      <c r="BV60" s="303"/>
      <c r="BW60" s="303"/>
      <c r="BX60" s="303"/>
      <c r="BY60" s="303"/>
      <c r="BZ60" s="303"/>
      <c r="CA60" s="303"/>
      <c r="CB60" s="303"/>
      <c r="CC60" s="303"/>
      <c r="CD60" s="303"/>
      <c r="CV60" s="303"/>
      <c r="CW60" s="303"/>
      <c r="CX60" s="303"/>
      <c r="CY60" s="303"/>
      <c r="CZ60" s="303"/>
      <c r="DA60" s="303"/>
    </row>
    <row r="61" spans="1:105" x14ac:dyDescent="0.2">
      <c r="B61" s="441">
        <v>3</v>
      </c>
      <c r="C61" s="362">
        <v>1</v>
      </c>
      <c r="D61" s="362">
        <v>1</v>
      </c>
      <c r="E61" s="362">
        <v>1</v>
      </c>
      <c r="F61" s="362">
        <v>1</v>
      </c>
      <c r="H61" s="441">
        <v>3</v>
      </c>
      <c r="I61" s="362">
        <v>1</v>
      </c>
      <c r="J61" s="362">
        <v>1</v>
      </c>
      <c r="K61" s="362">
        <v>1</v>
      </c>
      <c r="L61" s="362">
        <v>1</v>
      </c>
      <c r="M61" s="363"/>
      <c r="N61" s="441">
        <v>3</v>
      </c>
      <c r="O61" s="362">
        <v>1</v>
      </c>
      <c r="P61" s="362">
        <v>1</v>
      </c>
      <c r="Q61" s="362"/>
      <c r="R61" s="362"/>
      <c r="S61" s="363"/>
      <c r="T61" s="441">
        <v>3</v>
      </c>
      <c r="U61" s="364">
        <v>1</v>
      </c>
      <c r="V61" s="364"/>
      <c r="W61" s="364"/>
      <c r="X61" s="364"/>
      <c r="BQ61" s="303"/>
      <c r="BR61" s="303"/>
      <c r="BS61" s="303"/>
      <c r="BT61" s="303"/>
      <c r="BU61" s="303"/>
      <c r="BV61" s="303"/>
      <c r="BW61" s="303"/>
      <c r="BX61" s="303"/>
      <c r="BY61" s="303"/>
      <c r="BZ61" s="303"/>
      <c r="CA61" s="303"/>
      <c r="CB61" s="303"/>
      <c r="CC61" s="303"/>
      <c r="CD61" s="303"/>
    </row>
    <row r="62" spans="1:105" x14ac:dyDescent="0.2">
      <c r="B62" s="441">
        <v>4</v>
      </c>
      <c r="C62" s="362">
        <v>1</v>
      </c>
      <c r="D62" s="362">
        <v>1</v>
      </c>
      <c r="E62" s="362">
        <v>1</v>
      </c>
      <c r="F62" s="362">
        <v>1</v>
      </c>
      <c r="H62" s="441">
        <v>4</v>
      </c>
      <c r="I62" s="362">
        <v>1</v>
      </c>
      <c r="J62" s="362">
        <v>1</v>
      </c>
      <c r="K62" s="362">
        <v>1</v>
      </c>
      <c r="L62" s="362">
        <v>1</v>
      </c>
      <c r="M62" s="363"/>
      <c r="N62" s="441">
        <v>4</v>
      </c>
      <c r="O62" s="362">
        <v>1</v>
      </c>
      <c r="P62" s="362">
        <v>1</v>
      </c>
      <c r="Q62" s="362"/>
      <c r="R62" s="362"/>
      <c r="S62" s="363"/>
      <c r="T62" s="441">
        <v>4</v>
      </c>
      <c r="U62" s="364">
        <v>1</v>
      </c>
      <c r="W62" s="364"/>
      <c r="X62" s="364"/>
    </row>
    <row r="63" spans="1:105" x14ac:dyDescent="0.2">
      <c r="B63" s="441">
        <v>5</v>
      </c>
      <c r="C63" s="362">
        <v>1</v>
      </c>
      <c r="D63" s="362">
        <v>1</v>
      </c>
      <c r="E63" s="362">
        <v>1</v>
      </c>
      <c r="F63" s="362">
        <v>1</v>
      </c>
      <c r="H63" s="441">
        <v>5</v>
      </c>
      <c r="I63" s="362">
        <v>1</v>
      </c>
      <c r="J63" s="362"/>
      <c r="K63" s="362"/>
      <c r="L63" s="365"/>
      <c r="M63" s="363"/>
      <c r="N63" s="441">
        <v>5</v>
      </c>
      <c r="O63" s="362">
        <v>1</v>
      </c>
      <c r="P63" s="362">
        <v>1</v>
      </c>
      <c r="Q63" s="362"/>
      <c r="R63" s="365"/>
      <c r="S63" s="363"/>
      <c r="T63" s="441">
        <v>5</v>
      </c>
      <c r="U63" s="364">
        <v>1</v>
      </c>
      <c r="V63" s="364"/>
      <c r="W63" s="364"/>
      <c r="X63" s="364"/>
    </row>
    <row r="64" spans="1:105" x14ac:dyDescent="0.2">
      <c r="B64" s="441">
        <v>6</v>
      </c>
      <c r="C64" s="362">
        <v>1</v>
      </c>
      <c r="D64" s="362">
        <v>1</v>
      </c>
      <c r="E64" s="362">
        <v>1</v>
      </c>
      <c r="F64" s="362">
        <v>1</v>
      </c>
      <c r="H64" s="441">
        <v>6</v>
      </c>
      <c r="I64" s="362">
        <v>1</v>
      </c>
      <c r="J64" s="364"/>
      <c r="K64" s="364"/>
      <c r="L64" s="344"/>
      <c r="N64" s="441">
        <v>6</v>
      </c>
      <c r="O64" s="362">
        <v>1</v>
      </c>
      <c r="P64" s="362">
        <v>1</v>
      </c>
      <c r="Q64" s="362"/>
      <c r="R64" s="344"/>
      <c r="T64" s="441">
        <v>6</v>
      </c>
      <c r="U64" s="364">
        <v>1</v>
      </c>
      <c r="V64" s="364"/>
      <c r="W64" s="364"/>
      <c r="X64" s="364"/>
    </row>
    <row r="65" spans="2:105" x14ac:dyDescent="0.2">
      <c r="B65" s="441">
        <v>7</v>
      </c>
      <c r="C65" s="362">
        <v>1</v>
      </c>
      <c r="D65" s="362">
        <v>1</v>
      </c>
      <c r="E65" s="362">
        <v>1</v>
      </c>
      <c r="F65" s="362">
        <v>1</v>
      </c>
      <c r="H65" s="441">
        <v>7</v>
      </c>
      <c r="I65" s="362">
        <v>1</v>
      </c>
      <c r="J65" s="362"/>
      <c r="K65" s="362"/>
      <c r="L65" s="344"/>
      <c r="N65" s="441">
        <v>7</v>
      </c>
      <c r="O65" s="362">
        <v>1</v>
      </c>
      <c r="P65" s="362">
        <v>1</v>
      </c>
      <c r="Q65" s="362"/>
      <c r="R65" s="344"/>
      <c r="T65" s="441">
        <v>7</v>
      </c>
      <c r="U65" s="364">
        <v>1</v>
      </c>
      <c r="V65" s="364"/>
      <c r="W65" s="364"/>
      <c r="X65" s="364"/>
    </row>
    <row r="66" spans="2:105" x14ac:dyDescent="0.2">
      <c r="B66" s="441">
        <v>8</v>
      </c>
      <c r="C66" s="362">
        <v>1</v>
      </c>
      <c r="D66" s="362">
        <v>1</v>
      </c>
      <c r="E66" s="362">
        <v>1</v>
      </c>
      <c r="F66" s="362">
        <v>1</v>
      </c>
      <c r="H66" s="398" t="s">
        <v>992</v>
      </c>
      <c r="I66" s="344">
        <f>COUNT(I59:I65)/7*100</f>
        <v>100</v>
      </c>
      <c r="J66" s="344">
        <f t="shared" ref="J66:L66" si="0">COUNT(J59:J65)/7*100</f>
        <v>57.142857142857139</v>
      </c>
      <c r="K66" s="344">
        <f t="shared" si="0"/>
        <v>57.142857142857139</v>
      </c>
      <c r="L66" s="344">
        <f t="shared" si="0"/>
        <v>57.142857142857139</v>
      </c>
      <c r="N66" s="398" t="s">
        <v>992</v>
      </c>
      <c r="O66" s="344">
        <f>COUNT(O59:O65)/7*100</f>
        <v>100</v>
      </c>
      <c r="P66" s="344">
        <f t="shared" ref="P66:R66" si="1">COUNT(P59:P65)/7*100</f>
        <v>100</v>
      </c>
      <c r="Q66" s="344">
        <f t="shared" si="1"/>
        <v>0</v>
      </c>
      <c r="R66" s="344">
        <f t="shared" si="1"/>
        <v>0</v>
      </c>
      <c r="T66" s="398" t="s">
        <v>992</v>
      </c>
      <c r="U66" s="344">
        <f>COUNT(U59:U65)/7*100</f>
        <v>100</v>
      </c>
      <c r="V66" s="344">
        <f t="shared" ref="V66:X66" si="2">COUNT(V59:V65)/7*100</f>
        <v>28.571428571428569</v>
      </c>
      <c r="W66" s="344">
        <f t="shared" si="2"/>
        <v>0</v>
      </c>
      <c r="X66" s="344">
        <f t="shared" si="2"/>
        <v>0</v>
      </c>
    </row>
    <row r="67" spans="2:105" x14ac:dyDescent="0.2">
      <c r="B67" s="441">
        <v>9</v>
      </c>
      <c r="C67" s="362">
        <v>1</v>
      </c>
      <c r="D67" s="362">
        <v>1</v>
      </c>
      <c r="E67" s="362">
        <v>1</v>
      </c>
      <c r="F67" s="362">
        <v>1</v>
      </c>
    </row>
    <row r="68" spans="2:105" x14ac:dyDescent="0.2">
      <c r="B68" s="441">
        <v>10</v>
      </c>
      <c r="C68" s="362">
        <v>1</v>
      </c>
      <c r="D68" s="362">
        <v>1</v>
      </c>
      <c r="E68" s="362">
        <v>1</v>
      </c>
      <c r="F68" s="362">
        <v>1</v>
      </c>
    </row>
    <row r="69" spans="2:105" x14ac:dyDescent="0.2">
      <c r="B69" s="441">
        <v>11</v>
      </c>
      <c r="C69" s="362">
        <v>1</v>
      </c>
      <c r="D69" s="362">
        <v>1</v>
      </c>
      <c r="E69" s="362">
        <v>1</v>
      </c>
      <c r="F69" s="362">
        <v>1</v>
      </c>
    </row>
    <row r="70" spans="2:105" x14ac:dyDescent="0.2">
      <c r="B70" s="441">
        <v>12</v>
      </c>
      <c r="C70" s="362">
        <v>1</v>
      </c>
      <c r="D70" s="362">
        <v>1</v>
      </c>
      <c r="E70" s="362">
        <v>1</v>
      </c>
      <c r="F70" s="362">
        <v>1</v>
      </c>
    </row>
    <row r="71" spans="2:105" x14ac:dyDescent="0.2">
      <c r="B71" s="441">
        <v>13</v>
      </c>
      <c r="C71" s="362">
        <v>1</v>
      </c>
      <c r="D71" s="362">
        <v>1</v>
      </c>
      <c r="E71" s="362">
        <v>1</v>
      </c>
      <c r="F71" s="362">
        <v>1</v>
      </c>
      <c r="Y71" s="303"/>
      <c r="Z71" s="303"/>
      <c r="AA71" s="303"/>
      <c r="AB71" s="303"/>
      <c r="AC71" s="303"/>
      <c r="AD71" s="303"/>
      <c r="AE71" s="303"/>
      <c r="AF71" s="303"/>
      <c r="AG71" s="303"/>
      <c r="AH71" s="303"/>
      <c r="AI71" s="303"/>
      <c r="AJ71" s="303"/>
      <c r="AK71" s="303"/>
      <c r="AL71" s="303"/>
      <c r="AM71" s="303"/>
      <c r="AN71" s="303"/>
      <c r="AO71" s="303"/>
      <c r="AP71" s="303"/>
      <c r="AQ71" s="303"/>
      <c r="AR71" s="303"/>
      <c r="AS71" s="303"/>
      <c r="AT71" s="303"/>
      <c r="AU71" s="303"/>
      <c r="AV71" s="303"/>
      <c r="AW71" s="303"/>
      <c r="AX71" s="303"/>
      <c r="AY71" s="303"/>
      <c r="AZ71" s="303"/>
      <c r="BA71" s="303"/>
      <c r="BB71" s="303"/>
      <c r="BC71" s="303"/>
      <c r="BD71" s="303"/>
      <c r="BE71" s="303"/>
      <c r="BF71" s="303"/>
      <c r="BG71" s="303"/>
      <c r="BH71" s="303"/>
      <c r="BI71" s="303"/>
      <c r="BJ71" s="303"/>
      <c r="BK71" s="303"/>
      <c r="BL71" s="303"/>
      <c r="BM71" s="303"/>
      <c r="BN71" s="303"/>
      <c r="BO71" s="303"/>
      <c r="BP71" s="303"/>
      <c r="BQ71" s="303"/>
      <c r="BR71" s="303"/>
      <c r="BS71" s="303"/>
      <c r="BT71" s="303"/>
      <c r="BU71" s="303"/>
      <c r="BV71" s="303"/>
      <c r="BW71" s="303"/>
      <c r="BX71" s="303"/>
      <c r="BY71" s="303"/>
      <c r="BZ71" s="303"/>
      <c r="CA71" s="303"/>
      <c r="CB71" s="303"/>
      <c r="CC71" s="303"/>
      <c r="CD71" s="303"/>
      <c r="CE71" s="303"/>
      <c r="CF71" s="303"/>
      <c r="CG71" s="303"/>
      <c r="CH71" s="303"/>
      <c r="CI71" s="303"/>
      <c r="CJ71" s="303"/>
      <c r="CK71" s="303"/>
      <c r="CL71" s="303"/>
      <c r="CM71" s="303"/>
      <c r="CN71" s="303"/>
      <c r="CO71" s="303"/>
      <c r="CP71" s="303"/>
      <c r="CQ71" s="303"/>
      <c r="CR71" s="303"/>
      <c r="CS71" s="303"/>
      <c r="CT71" s="303"/>
      <c r="CU71" s="303"/>
      <c r="CV71" s="303"/>
      <c r="CW71" s="303"/>
      <c r="CX71" s="303"/>
      <c r="CY71" s="303"/>
      <c r="CZ71" s="303"/>
      <c r="DA71" s="303"/>
    </row>
    <row r="72" spans="2:105" x14ac:dyDescent="0.2">
      <c r="B72" s="441">
        <v>14</v>
      </c>
      <c r="C72" s="362">
        <v>1</v>
      </c>
      <c r="D72" s="362">
        <v>1</v>
      </c>
      <c r="E72" s="362">
        <v>1</v>
      </c>
      <c r="F72" s="362">
        <v>1</v>
      </c>
      <c r="Y72" s="290"/>
      <c r="Z72" s="290"/>
      <c r="AA72" s="290"/>
      <c r="AB72" s="290"/>
      <c r="AC72" s="290"/>
      <c r="AD72" s="290"/>
      <c r="AE72" s="290"/>
      <c r="AF72" s="290"/>
      <c r="AG72" s="290"/>
      <c r="AH72" s="290"/>
      <c r="AI72" s="290"/>
      <c r="AJ72" s="290"/>
      <c r="AK72" s="290"/>
      <c r="AL72" s="290"/>
      <c r="AM72" s="290"/>
      <c r="AN72" s="290"/>
      <c r="AO72" s="290"/>
      <c r="AP72" s="290"/>
      <c r="AQ72" s="290"/>
      <c r="AR72" s="290"/>
      <c r="AS72" s="290"/>
      <c r="AT72" s="290"/>
      <c r="AU72" s="290"/>
      <c r="AV72" s="290"/>
      <c r="AW72" s="290"/>
      <c r="AX72" s="290"/>
      <c r="AY72" s="290"/>
      <c r="AZ72" s="290"/>
      <c r="BA72" s="290"/>
      <c r="BB72" s="290"/>
      <c r="BC72" s="290"/>
      <c r="BD72" s="290"/>
      <c r="BE72" s="290"/>
      <c r="BF72" s="290"/>
      <c r="BG72" s="290"/>
      <c r="BH72" s="290"/>
      <c r="BI72" s="290"/>
      <c r="BJ72" s="290"/>
      <c r="BK72" s="290"/>
      <c r="BL72" s="290"/>
      <c r="BM72" s="290"/>
      <c r="BN72" s="290"/>
      <c r="BO72" s="290"/>
      <c r="BP72" s="290"/>
      <c r="BQ72" s="290"/>
      <c r="BR72" s="290"/>
      <c r="BS72" s="290"/>
      <c r="BT72" s="290"/>
      <c r="BU72" s="290"/>
      <c r="BV72" s="290"/>
      <c r="BW72" s="290"/>
      <c r="BX72" s="290"/>
      <c r="BY72" s="290"/>
      <c r="BZ72" s="290"/>
      <c r="CA72" s="290"/>
      <c r="CB72" s="290"/>
      <c r="CC72" s="290"/>
      <c r="CD72" s="290"/>
      <c r="CE72" s="290"/>
      <c r="CF72" s="290"/>
      <c r="CG72" s="290"/>
      <c r="CH72" s="290"/>
      <c r="CI72" s="290"/>
      <c r="CJ72" s="290"/>
      <c r="CK72" s="290"/>
      <c r="CL72" s="290"/>
      <c r="CM72" s="290"/>
      <c r="CN72" s="290"/>
      <c r="CO72" s="290"/>
      <c r="CP72" s="290"/>
      <c r="CQ72" s="290"/>
      <c r="CR72" s="290"/>
      <c r="CS72" s="290"/>
      <c r="CT72" s="290"/>
      <c r="CU72" s="290"/>
      <c r="CV72" s="290"/>
      <c r="CW72" s="290"/>
      <c r="CX72" s="290"/>
      <c r="CY72" s="290"/>
      <c r="CZ72" s="290"/>
      <c r="DA72" s="303"/>
    </row>
    <row r="73" spans="2:105" x14ac:dyDescent="0.2">
      <c r="B73" s="441">
        <v>15</v>
      </c>
      <c r="C73" s="362">
        <v>1</v>
      </c>
      <c r="D73" s="362">
        <v>1</v>
      </c>
      <c r="E73" s="362">
        <v>1</v>
      </c>
      <c r="F73" s="362">
        <v>1</v>
      </c>
      <c r="Y73" s="360"/>
      <c r="Z73" s="360"/>
      <c r="AA73" s="360"/>
      <c r="AB73" s="360"/>
      <c r="AC73" s="360"/>
      <c r="AD73" s="360"/>
      <c r="AE73" s="360"/>
      <c r="AF73" s="360"/>
      <c r="AG73" s="360"/>
      <c r="AH73" s="360"/>
      <c r="AI73" s="360"/>
      <c r="AJ73" s="360"/>
      <c r="AK73" s="360"/>
      <c r="AL73" s="360"/>
      <c r="AM73" s="360"/>
      <c r="AN73" s="360"/>
      <c r="AO73" s="360"/>
      <c r="AP73" s="360"/>
      <c r="AQ73" s="360"/>
      <c r="AR73" s="360"/>
      <c r="AS73" s="360"/>
      <c r="AT73" s="360"/>
      <c r="AU73" s="360"/>
      <c r="AV73" s="360"/>
      <c r="AW73" s="360"/>
      <c r="AX73" s="360"/>
      <c r="AY73" s="360"/>
      <c r="AZ73" s="360"/>
      <c r="BA73" s="360"/>
      <c r="BB73" s="360"/>
      <c r="BC73" s="360"/>
      <c r="BD73" s="360"/>
      <c r="BE73" s="360"/>
      <c r="BF73" s="360"/>
      <c r="BG73" s="360"/>
      <c r="BH73" s="360"/>
      <c r="BI73" s="360"/>
      <c r="BJ73" s="360"/>
      <c r="BK73" s="360"/>
      <c r="BL73" s="360"/>
      <c r="BM73" s="360"/>
      <c r="BN73" s="360"/>
      <c r="BO73" s="360"/>
      <c r="BP73" s="360"/>
      <c r="BQ73" s="360"/>
      <c r="BR73" s="360"/>
      <c r="BS73" s="360"/>
      <c r="BT73" s="360"/>
      <c r="BU73" s="360"/>
      <c r="BV73" s="360"/>
      <c r="BW73" s="360"/>
      <c r="BX73" s="360"/>
      <c r="BY73" s="360"/>
      <c r="BZ73" s="360"/>
      <c r="CA73" s="360"/>
      <c r="CB73" s="360"/>
      <c r="CC73" s="360"/>
      <c r="CD73" s="360"/>
      <c r="CE73" s="360"/>
      <c r="CF73" s="360"/>
      <c r="CG73" s="360"/>
      <c r="CH73" s="360"/>
      <c r="CI73" s="360"/>
      <c r="CJ73" s="360"/>
      <c r="CK73" s="360"/>
      <c r="CL73" s="360"/>
      <c r="CM73" s="360"/>
      <c r="CN73" s="360"/>
      <c r="CO73" s="360"/>
      <c r="CP73" s="360"/>
      <c r="CQ73" s="360"/>
      <c r="CR73" s="360"/>
      <c r="CS73" s="360"/>
      <c r="CT73" s="360"/>
      <c r="CU73" s="360"/>
      <c r="CV73" s="360"/>
      <c r="CW73" s="361"/>
      <c r="CX73" s="360"/>
      <c r="CY73" s="360"/>
      <c r="CZ73" s="360"/>
      <c r="DA73" s="303"/>
    </row>
    <row r="74" spans="2:105" x14ac:dyDescent="0.2">
      <c r="B74" s="441">
        <v>16</v>
      </c>
      <c r="C74" s="362">
        <v>1</v>
      </c>
      <c r="D74" s="362">
        <v>1</v>
      </c>
      <c r="E74" s="362">
        <v>1</v>
      </c>
      <c r="F74" s="362">
        <v>1</v>
      </c>
    </row>
    <row r="75" spans="2:105" x14ac:dyDescent="0.2">
      <c r="B75" s="441">
        <v>17</v>
      </c>
      <c r="C75" s="362">
        <v>1</v>
      </c>
      <c r="D75" s="362">
        <v>1</v>
      </c>
      <c r="E75" s="362">
        <v>1</v>
      </c>
      <c r="F75" s="362">
        <v>1</v>
      </c>
    </row>
    <row r="76" spans="2:105" x14ac:dyDescent="0.2">
      <c r="B76" s="441">
        <v>18</v>
      </c>
      <c r="C76" s="362">
        <v>1</v>
      </c>
      <c r="D76" s="362">
        <v>1</v>
      </c>
      <c r="E76" s="362">
        <v>1</v>
      </c>
      <c r="F76" s="362">
        <v>1</v>
      </c>
    </row>
    <row r="77" spans="2:105" x14ac:dyDescent="0.2">
      <c r="B77" s="441">
        <v>19</v>
      </c>
      <c r="C77" s="362">
        <v>1</v>
      </c>
      <c r="D77" s="362">
        <v>1</v>
      </c>
      <c r="E77" s="362">
        <v>1</v>
      </c>
      <c r="F77" s="362">
        <v>1</v>
      </c>
    </row>
    <row r="78" spans="2:105" x14ac:dyDescent="0.2">
      <c r="B78" s="441">
        <v>20</v>
      </c>
      <c r="C78" s="362">
        <v>1</v>
      </c>
      <c r="D78" s="362">
        <v>1</v>
      </c>
      <c r="E78" s="362">
        <v>1</v>
      </c>
      <c r="F78" s="362"/>
    </row>
    <row r="79" spans="2:105" x14ac:dyDescent="0.2">
      <c r="B79" s="441">
        <v>21</v>
      </c>
      <c r="C79" s="362">
        <v>1</v>
      </c>
      <c r="D79" s="362">
        <v>1</v>
      </c>
      <c r="E79" s="362">
        <v>1</v>
      </c>
      <c r="F79" s="362"/>
    </row>
    <row r="80" spans="2:105" x14ac:dyDescent="0.2">
      <c r="B80" s="441">
        <v>22</v>
      </c>
      <c r="C80" s="362">
        <v>1</v>
      </c>
      <c r="D80" s="362">
        <v>1</v>
      </c>
      <c r="E80" s="362">
        <v>1</v>
      </c>
      <c r="F80" s="362"/>
    </row>
    <row r="81" spans="2:105" x14ac:dyDescent="0.2">
      <c r="B81" s="398" t="s">
        <v>992</v>
      </c>
      <c r="C81" s="344">
        <f>COUNT(C59:C80)/22*100</f>
        <v>100</v>
      </c>
      <c r="D81" s="344">
        <f t="shared" ref="D81:E81" si="3">COUNT(D59:D80)/22*100</f>
        <v>100</v>
      </c>
      <c r="E81" s="344">
        <f t="shared" si="3"/>
        <v>100</v>
      </c>
      <c r="F81" s="344">
        <f>COUNT(F59:F80)/22*100</f>
        <v>86.36363636363636</v>
      </c>
    </row>
    <row r="82" spans="2:105" x14ac:dyDescent="0.2">
      <c r="B82" s="355"/>
    </row>
    <row r="83" spans="2:105" x14ac:dyDescent="0.2">
      <c r="B83" s="355"/>
    </row>
    <row r="84" spans="2:105" x14ac:dyDescent="0.2">
      <c r="C84" s="355" t="s">
        <v>955</v>
      </c>
      <c r="E84" s="356"/>
      <c r="F84" s="356"/>
      <c r="I84" s="355" t="s">
        <v>955</v>
      </c>
      <c r="K84" s="356"/>
      <c r="L84" s="356"/>
      <c r="M84" s="363"/>
      <c r="O84" s="355" t="s">
        <v>955</v>
      </c>
      <c r="Q84" s="356"/>
      <c r="R84" s="356"/>
      <c r="S84" s="363"/>
      <c r="U84" s="355" t="s">
        <v>955</v>
      </c>
      <c r="W84" s="356"/>
      <c r="X84" s="356"/>
    </row>
    <row r="85" spans="2:105" x14ac:dyDescent="0.2">
      <c r="B85" s="445" t="s">
        <v>979</v>
      </c>
      <c r="C85" s="357" t="s">
        <v>298</v>
      </c>
      <c r="D85" s="357" t="s">
        <v>943</v>
      </c>
      <c r="E85" s="357" t="s">
        <v>944</v>
      </c>
      <c r="F85" s="357" t="s">
        <v>945</v>
      </c>
      <c r="H85" s="445" t="s">
        <v>195</v>
      </c>
      <c r="I85" s="357" t="s">
        <v>298</v>
      </c>
      <c r="J85" s="357" t="s">
        <v>943</v>
      </c>
      <c r="K85" s="357" t="s">
        <v>944</v>
      </c>
      <c r="L85" s="357" t="s">
        <v>945</v>
      </c>
      <c r="M85" s="363"/>
      <c r="N85" s="445" t="s">
        <v>198</v>
      </c>
      <c r="O85" s="357" t="s">
        <v>298</v>
      </c>
      <c r="P85" s="357" t="s">
        <v>943</v>
      </c>
      <c r="Q85" s="357" t="s">
        <v>944</v>
      </c>
      <c r="R85" s="357" t="s">
        <v>945</v>
      </c>
      <c r="S85" s="363"/>
      <c r="T85" s="445" t="s">
        <v>201</v>
      </c>
      <c r="U85" s="357" t="s">
        <v>298</v>
      </c>
      <c r="V85" s="357" t="s">
        <v>943</v>
      </c>
      <c r="W85" s="357" t="s">
        <v>944</v>
      </c>
      <c r="X85" s="357" t="s">
        <v>945</v>
      </c>
    </row>
    <row r="86" spans="2:105" x14ac:dyDescent="0.2">
      <c r="B86" s="440" t="s">
        <v>957</v>
      </c>
      <c r="C86" s="359" t="s">
        <v>946</v>
      </c>
      <c r="D86" s="359" t="s">
        <v>946</v>
      </c>
      <c r="E86" s="359" t="s">
        <v>946</v>
      </c>
      <c r="F86" s="359" t="s">
        <v>946</v>
      </c>
      <c r="H86" s="440" t="s">
        <v>957</v>
      </c>
      <c r="I86" s="358" t="s">
        <v>946</v>
      </c>
      <c r="J86" s="358" t="s">
        <v>946</v>
      </c>
      <c r="K86" s="358" t="s">
        <v>946</v>
      </c>
      <c r="L86" s="358" t="s">
        <v>946</v>
      </c>
      <c r="M86" s="363"/>
      <c r="N86" s="440" t="s">
        <v>957</v>
      </c>
      <c r="O86" s="359" t="s">
        <v>946</v>
      </c>
      <c r="P86" s="359" t="s">
        <v>946</v>
      </c>
      <c r="Q86" s="359" t="s">
        <v>946</v>
      </c>
      <c r="R86" s="359" t="s">
        <v>946</v>
      </c>
      <c r="S86" s="363"/>
      <c r="T86" s="440" t="s">
        <v>957</v>
      </c>
      <c r="U86" s="359" t="s">
        <v>946</v>
      </c>
      <c r="V86" s="359" t="s">
        <v>946</v>
      </c>
      <c r="W86" s="359" t="s">
        <v>946</v>
      </c>
      <c r="X86" s="359" t="s">
        <v>946</v>
      </c>
    </row>
    <row r="87" spans="2:105" x14ac:dyDescent="0.2">
      <c r="B87" s="441">
        <v>1</v>
      </c>
      <c r="C87" s="362">
        <v>1</v>
      </c>
      <c r="D87" s="362">
        <v>1</v>
      </c>
      <c r="E87" s="362">
        <v>1</v>
      </c>
      <c r="F87" s="362">
        <v>1</v>
      </c>
      <c r="H87" s="441">
        <v>1</v>
      </c>
      <c r="I87" s="362">
        <v>1</v>
      </c>
      <c r="J87" s="362">
        <v>1</v>
      </c>
      <c r="K87" s="362">
        <v>1</v>
      </c>
      <c r="L87" s="362"/>
      <c r="M87" s="363"/>
      <c r="N87" s="441">
        <v>1</v>
      </c>
      <c r="O87" s="364">
        <v>1</v>
      </c>
      <c r="P87" s="364">
        <v>1</v>
      </c>
      <c r="Q87" s="364">
        <v>1</v>
      </c>
      <c r="R87" s="364"/>
      <c r="S87" s="363"/>
      <c r="T87" s="441">
        <v>1</v>
      </c>
      <c r="U87" s="364">
        <v>1</v>
      </c>
      <c r="V87" s="364">
        <v>1</v>
      </c>
      <c r="W87" s="364">
        <v>1</v>
      </c>
      <c r="X87" s="364"/>
      <c r="Y87" s="303"/>
      <c r="Z87" s="303"/>
      <c r="AA87" s="303"/>
      <c r="AB87" s="303"/>
      <c r="AC87" s="303"/>
      <c r="AD87" s="303"/>
      <c r="AE87" s="303"/>
      <c r="AF87" s="303"/>
      <c r="AG87" s="303"/>
      <c r="AH87" s="303"/>
      <c r="AI87" s="303"/>
      <c r="AJ87" s="303"/>
      <c r="AK87" s="303"/>
      <c r="AL87" s="303"/>
      <c r="AM87" s="303"/>
      <c r="AN87" s="303"/>
      <c r="AO87" s="303"/>
      <c r="AP87" s="303"/>
      <c r="AQ87" s="303"/>
      <c r="AR87" s="303"/>
      <c r="AS87" s="303"/>
      <c r="AT87" s="303"/>
      <c r="AU87" s="303"/>
      <c r="AV87" s="303"/>
      <c r="AW87" s="303"/>
      <c r="AX87" s="303"/>
      <c r="AY87" s="303"/>
      <c r="AZ87" s="303"/>
      <c r="BA87" s="303"/>
      <c r="BB87" s="303"/>
      <c r="BC87" s="303"/>
      <c r="BD87" s="303"/>
      <c r="BE87" s="303"/>
      <c r="BF87" s="303"/>
      <c r="BG87" s="303"/>
      <c r="BH87" s="303"/>
      <c r="BI87" s="303"/>
      <c r="BJ87" s="303"/>
      <c r="BK87" s="303"/>
      <c r="BL87" s="303"/>
      <c r="BM87" s="303"/>
      <c r="BN87" s="303"/>
      <c r="BO87" s="303"/>
      <c r="BP87" s="303"/>
      <c r="BQ87" s="303"/>
      <c r="BR87" s="303"/>
      <c r="BS87" s="303"/>
      <c r="BT87" s="303"/>
      <c r="BU87" s="303"/>
      <c r="BV87" s="303"/>
      <c r="BW87" s="303"/>
      <c r="BX87" s="303"/>
      <c r="BY87" s="303"/>
      <c r="BZ87" s="303"/>
      <c r="CA87" s="303"/>
      <c r="CB87" s="303"/>
      <c r="CC87" s="303"/>
      <c r="CD87" s="303"/>
      <c r="CE87" s="303"/>
      <c r="CF87" s="303"/>
      <c r="CG87" s="303"/>
      <c r="CH87" s="303"/>
      <c r="CI87" s="303"/>
      <c r="CJ87" s="303"/>
      <c r="CK87" s="303"/>
      <c r="CL87" s="303"/>
      <c r="CM87" s="303"/>
      <c r="CN87" s="303"/>
      <c r="CO87" s="303"/>
      <c r="CP87" s="303"/>
      <c r="CQ87" s="303"/>
      <c r="CR87" s="303"/>
      <c r="CS87" s="303"/>
      <c r="CT87" s="303"/>
      <c r="CU87" s="303"/>
      <c r="CV87" s="303"/>
      <c r="CW87" s="303"/>
      <c r="CX87" s="303"/>
      <c r="CY87" s="303"/>
      <c r="CZ87" s="303"/>
      <c r="DA87" s="303"/>
    </row>
    <row r="88" spans="2:105" x14ac:dyDescent="0.2">
      <c r="B88" s="441">
        <v>2</v>
      </c>
      <c r="C88" s="362">
        <v>1</v>
      </c>
      <c r="D88" s="362">
        <v>1</v>
      </c>
      <c r="E88" s="362">
        <v>1</v>
      </c>
      <c r="F88" s="362">
        <v>1</v>
      </c>
      <c r="H88" s="441">
        <v>2</v>
      </c>
      <c r="I88" s="362">
        <v>1</v>
      </c>
      <c r="J88" s="362"/>
      <c r="K88" s="362"/>
      <c r="L88" s="362"/>
      <c r="M88" s="363"/>
      <c r="N88" s="441">
        <v>2</v>
      </c>
      <c r="O88" s="364">
        <v>1</v>
      </c>
      <c r="P88" s="364">
        <v>1</v>
      </c>
      <c r="Q88" s="364">
        <v>1</v>
      </c>
      <c r="R88" s="364"/>
      <c r="S88" s="363"/>
      <c r="T88" s="441">
        <v>2</v>
      </c>
      <c r="U88" s="364">
        <v>1</v>
      </c>
      <c r="V88" s="364">
        <v>1</v>
      </c>
      <c r="W88" s="364">
        <v>1</v>
      </c>
      <c r="X88" s="364"/>
      <c r="Y88" s="290"/>
      <c r="Z88" s="290"/>
      <c r="AA88" s="290"/>
      <c r="AB88" s="290"/>
      <c r="AC88" s="290"/>
      <c r="AD88" s="290"/>
      <c r="AE88" s="290"/>
      <c r="AF88" s="290"/>
      <c r="AG88" s="290"/>
      <c r="AH88" s="290"/>
      <c r="AI88" s="290"/>
      <c r="AJ88" s="290"/>
      <c r="AK88" s="290"/>
      <c r="AL88" s="290"/>
      <c r="AM88" s="290"/>
      <c r="AN88" s="290"/>
      <c r="AO88" s="290"/>
      <c r="AP88" s="290"/>
      <c r="AQ88" s="290"/>
      <c r="AR88" s="290"/>
      <c r="AS88" s="290"/>
      <c r="AT88" s="290"/>
      <c r="AU88" s="290"/>
      <c r="AV88" s="290"/>
      <c r="AW88" s="290"/>
      <c r="AX88" s="290"/>
      <c r="AY88" s="290"/>
      <c r="AZ88" s="290"/>
      <c r="BA88" s="290"/>
      <c r="BB88" s="290"/>
      <c r="BC88" s="290"/>
      <c r="BD88" s="290"/>
      <c r="BE88" s="290"/>
      <c r="BF88" s="290"/>
      <c r="BG88" s="290"/>
      <c r="BH88" s="290"/>
      <c r="BI88" s="290"/>
      <c r="BJ88" s="290"/>
      <c r="BK88" s="290"/>
      <c r="BL88" s="290"/>
      <c r="BM88" s="290"/>
      <c r="BN88" s="290"/>
      <c r="BO88" s="290"/>
      <c r="BP88" s="290"/>
      <c r="BQ88" s="290"/>
      <c r="BR88" s="290"/>
      <c r="BS88" s="290"/>
      <c r="BT88" s="290"/>
      <c r="BU88" s="290"/>
      <c r="BV88" s="290"/>
      <c r="BW88" s="290"/>
      <c r="BX88" s="290"/>
      <c r="BY88" s="290"/>
      <c r="BZ88" s="290"/>
      <c r="CA88" s="290"/>
      <c r="CB88" s="290"/>
      <c r="CC88" s="290"/>
      <c r="CD88" s="290"/>
      <c r="CE88" s="290"/>
      <c r="CF88" s="290"/>
      <c r="CG88" s="290"/>
      <c r="CH88" s="290"/>
      <c r="CI88" s="290"/>
      <c r="CJ88" s="290"/>
      <c r="CK88" s="290"/>
      <c r="CL88" s="290"/>
      <c r="CM88" s="290"/>
      <c r="CN88" s="290"/>
      <c r="CO88" s="290"/>
      <c r="CP88" s="290"/>
      <c r="CQ88" s="290"/>
      <c r="CR88" s="290"/>
      <c r="CS88" s="290"/>
      <c r="CT88" s="290"/>
      <c r="CU88" s="290"/>
      <c r="CV88" s="290"/>
      <c r="CW88" s="290"/>
      <c r="CX88" s="290"/>
      <c r="CY88" s="290"/>
      <c r="CZ88" s="290"/>
      <c r="DA88" s="303"/>
    </row>
    <row r="89" spans="2:105" x14ac:dyDescent="0.2">
      <c r="B89" s="441">
        <v>3</v>
      </c>
      <c r="C89" s="362">
        <v>1</v>
      </c>
      <c r="D89" s="362">
        <v>1</v>
      </c>
      <c r="E89" s="362">
        <v>1</v>
      </c>
      <c r="F89" s="362">
        <v>1</v>
      </c>
      <c r="H89" s="441">
        <v>3</v>
      </c>
      <c r="I89" s="362">
        <v>1</v>
      </c>
      <c r="J89" s="362"/>
      <c r="K89" s="362"/>
      <c r="L89" s="362"/>
      <c r="N89" s="441">
        <v>3</v>
      </c>
      <c r="O89" s="364">
        <v>1</v>
      </c>
      <c r="P89" s="364">
        <v>1</v>
      </c>
      <c r="Q89" s="364">
        <v>1</v>
      </c>
      <c r="R89" s="364"/>
      <c r="T89" s="441">
        <v>3</v>
      </c>
      <c r="U89" s="364">
        <v>1</v>
      </c>
      <c r="V89" s="364">
        <v>1</v>
      </c>
      <c r="W89" s="364"/>
      <c r="X89" s="364"/>
      <c r="Y89" s="360"/>
      <c r="Z89" s="360"/>
      <c r="AA89" s="360"/>
      <c r="AB89" s="360"/>
      <c r="AC89" s="360"/>
      <c r="AD89" s="360"/>
      <c r="AE89" s="360"/>
      <c r="AF89" s="360"/>
      <c r="AG89" s="360"/>
      <c r="AH89" s="360"/>
      <c r="AI89" s="360"/>
      <c r="AJ89" s="360"/>
      <c r="AK89" s="360"/>
      <c r="AL89" s="360"/>
      <c r="AM89" s="360"/>
      <c r="AN89" s="360"/>
      <c r="AO89" s="360"/>
      <c r="AP89" s="360"/>
      <c r="AQ89" s="360"/>
      <c r="AR89" s="360"/>
      <c r="AS89" s="360"/>
      <c r="AT89" s="360"/>
      <c r="AU89" s="360"/>
      <c r="AV89" s="360"/>
      <c r="AW89" s="360"/>
      <c r="AX89" s="360"/>
      <c r="AY89" s="360"/>
      <c r="AZ89" s="360"/>
      <c r="BA89" s="360"/>
      <c r="BB89" s="360"/>
      <c r="BC89" s="360"/>
      <c r="BD89" s="360"/>
      <c r="BE89" s="360"/>
      <c r="BF89" s="360"/>
      <c r="BG89" s="360"/>
      <c r="BH89" s="360"/>
      <c r="BI89" s="360"/>
      <c r="BJ89" s="360"/>
      <c r="BK89" s="360"/>
      <c r="BL89" s="360"/>
      <c r="BM89" s="360"/>
      <c r="BN89" s="360"/>
      <c r="BO89" s="360"/>
      <c r="BP89" s="360"/>
      <c r="BQ89" s="360"/>
      <c r="BR89" s="360"/>
      <c r="BS89" s="360"/>
      <c r="BT89" s="360"/>
      <c r="BU89" s="360"/>
      <c r="BV89" s="360"/>
      <c r="BW89" s="360"/>
      <c r="BX89" s="360"/>
      <c r="BY89" s="360"/>
      <c r="BZ89" s="360"/>
      <c r="CA89" s="360"/>
      <c r="CB89" s="360"/>
      <c r="CC89" s="360"/>
      <c r="CD89" s="360"/>
      <c r="CE89" s="360"/>
      <c r="CF89" s="360"/>
      <c r="CG89" s="360"/>
      <c r="CH89" s="360"/>
      <c r="CI89" s="360"/>
      <c r="CJ89" s="360"/>
      <c r="CK89" s="360"/>
      <c r="CL89" s="360"/>
      <c r="CM89" s="360"/>
      <c r="CN89" s="360"/>
      <c r="CO89" s="360"/>
      <c r="CP89" s="360"/>
      <c r="CQ89" s="360"/>
      <c r="CR89" s="360"/>
      <c r="CS89" s="360"/>
      <c r="CT89" s="360"/>
      <c r="CU89" s="360"/>
      <c r="CV89" s="360"/>
      <c r="CW89" s="361"/>
      <c r="CX89" s="360"/>
      <c r="CY89" s="360"/>
      <c r="CZ89" s="360"/>
      <c r="DA89" s="303"/>
    </row>
    <row r="90" spans="2:105" x14ac:dyDescent="0.2">
      <c r="B90" s="441">
        <v>4</v>
      </c>
      <c r="C90" s="362">
        <v>1</v>
      </c>
      <c r="D90" s="362">
        <v>1</v>
      </c>
      <c r="E90" s="362">
        <v>1</v>
      </c>
      <c r="F90" s="362">
        <v>1</v>
      </c>
      <c r="H90" s="441">
        <v>4</v>
      </c>
      <c r="I90" s="362">
        <v>1</v>
      </c>
      <c r="J90" s="362"/>
      <c r="K90" s="362"/>
      <c r="L90" s="362"/>
      <c r="N90" s="441">
        <v>4</v>
      </c>
      <c r="O90" s="364">
        <v>1</v>
      </c>
      <c r="P90" s="364">
        <v>1</v>
      </c>
      <c r="Q90" s="364">
        <v>1</v>
      </c>
      <c r="R90" s="364"/>
      <c r="T90" s="441">
        <v>4</v>
      </c>
      <c r="U90" s="364">
        <v>1</v>
      </c>
      <c r="V90" s="364">
        <v>1</v>
      </c>
      <c r="W90" s="364"/>
      <c r="X90" s="364"/>
    </row>
    <row r="91" spans="2:105" x14ac:dyDescent="0.2">
      <c r="B91" s="441">
        <v>5</v>
      </c>
      <c r="C91" s="362">
        <v>1</v>
      </c>
      <c r="D91" s="362">
        <v>1</v>
      </c>
      <c r="E91" s="362">
        <v>1</v>
      </c>
      <c r="F91" s="362">
        <v>1</v>
      </c>
      <c r="H91" s="441">
        <v>5</v>
      </c>
      <c r="I91" s="362">
        <v>1</v>
      </c>
      <c r="J91" s="362"/>
      <c r="K91" s="362"/>
      <c r="L91" s="365"/>
      <c r="N91" s="441">
        <v>5</v>
      </c>
      <c r="O91" s="364">
        <v>1</v>
      </c>
      <c r="P91" s="364">
        <v>1</v>
      </c>
      <c r="Q91" s="364">
        <v>1</v>
      </c>
      <c r="R91" s="364"/>
      <c r="T91" s="441">
        <v>5</v>
      </c>
      <c r="U91" s="364">
        <v>1</v>
      </c>
      <c r="V91" s="364">
        <v>1</v>
      </c>
      <c r="W91" s="364"/>
      <c r="X91" s="364"/>
    </row>
    <row r="92" spans="2:105" x14ac:dyDescent="0.2">
      <c r="B92" s="441">
        <v>6</v>
      </c>
      <c r="C92" s="362">
        <v>1</v>
      </c>
      <c r="D92" s="362">
        <v>1</v>
      </c>
      <c r="E92" s="362">
        <v>1</v>
      </c>
      <c r="F92" s="362">
        <v>1</v>
      </c>
      <c r="H92" s="441">
        <v>6</v>
      </c>
      <c r="I92" s="362">
        <v>1</v>
      </c>
      <c r="J92" s="362"/>
      <c r="K92" s="362"/>
      <c r="L92" s="344"/>
      <c r="N92" s="441">
        <v>6</v>
      </c>
      <c r="O92" s="364">
        <v>1</v>
      </c>
      <c r="P92" s="364">
        <v>1</v>
      </c>
      <c r="Q92" s="364">
        <v>1</v>
      </c>
      <c r="R92" s="364"/>
      <c r="T92" s="441">
        <v>6</v>
      </c>
      <c r="U92" s="364">
        <v>1</v>
      </c>
      <c r="V92" s="364">
        <v>1</v>
      </c>
      <c r="W92" s="364"/>
      <c r="X92" s="364"/>
    </row>
    <row r="93" spans="2:105" x14ac:dyDescent="0.2">
      <c r="B93" s="441">
        <v>7</v>
      </c>
      <c r="C93" s="362">
        <v>1</v>
      </c>
      <c r="D93" s="362">
        <v>1</v>
      </c>
      <c r="E93" s="362">
        <v>1</v>
      </c>
      <c r="F93" s="362">
        <v>1</v>
      </c>
      <c r="H93" s="441">
        <v>7</v>
      </c>
      <c r="I93" s="362">
        <v>1</v>
      </c>
      <c r="J93" s="362"/>
      <c r="K93" s="362"/>
      <c r="L93" s="344"/>
      <c r="N93" s="441">
        <v>7</v>
      </c>
      <c r="O93" s="364">
        <v>1</v>
      </c>
      <c r="P93" s="364">
        <v>1</v>
      </c>
      <c r="Q93" s="364">
        <v>1</v>
      </c>
      <c r="R93" s="364"/>
      <c r="T93" s="441">
        <v>7</v>
      </c>
      <c r="U93" s="364">
        <v>1</v>
      </c>
      <c r="V93" s="364">
        <v>1</v>
      </c>
      <c r="W93" s="364"/>
      <c r="X93" s="354"/>
    </row>
    <row r="94" spans="2:105" x14ac:dyDescent="0.2">
      <c r="B94" s="398" t="s">
        <v>992</v>
      </c>
      <c r="C94" s="344">
        <f>COUNT(C87:C93)/7*100</f>
        <v>100</v>
      </c>
      <c r="D94" s="344">
        <f t="shared" ref="D94:E94" si="4">COUNT(D87:D93)/7*100</f>
        <v>100</v>
      </c>
      <c r="E94" s="344">
        <f t="shared" si="4"/>
        <v>100</v>
      </c>
      <c r="F94" s="344">
        <f>COUNT(F87:F93)/7*100</f>
        <v>100</v>
      </c>
      <c r="H94" s="398" t="s">
        <v>992</v>
      </c>
      <c r="I94" s="344">
        <f>COUNT(I87:I93)/7*100</f>
        <v>100</v>
      </c>
      <c r="J94" s="344">
        <f>COUNT(J87:J93)/7*100</f>
        <v>14.285714285714285</v>
      </c>
      <c r="K94" s="344">
        <f t="shared" ref="K94:L94" si="5">COUNT(K87:K93)/7*100</f>
        <v>14.285714285714285</v>
      </c>
      <c r="L94" s="344">
        <f t="shared" si="5"/>
        <v>0</v>
      </c>
      <c r="M94" s="366"/>
      <c r="N94" s="441">
        <v>8</v>
      </c>
      <c r="O94" s="364">
        <v>1</v>
      </c>
      <c r="P94" s="364">
        <v>1</v>
      </c>
      <c r="Q94" s="364">
        <v>1</v>
      </c>
      <c r="R94" s="364"/>
      <c r="S94" s="363"/>
      <c r="T94" s="441">
        <v>8</v>
      </c>
      <c r="U94" s="364">
        <v>1</v>
      </c>
      <c r="V94" s="367">
        <v>1</v>
      </c>
      <c r="W94" s="364"/>
      <c r="X94" s="364"/>
    </row>
    <row r="95" spans="2:105" x14ac:dyDescent="0.2">
      <c r="M95" s="366"/>
      <c r="N95" s="398" t="s">
        <v>992</v>
      </c>
      <c r="O95" s="344">
        <f>COUNT(O87:O94)/8*100</f>
        <v>100</v>
      </c>
      <c r="P95" s="344">
        <f t="shared" ref="P95:Q95" si="6">COUNT(P87:P94)/8*100</f>
        <v>100</v>
      </c>
      <c r="Q95" s="344">
        <f t="shared" si="6"/>
        <v>100</v>
      </c>
      <c r="R95" s="344">
        <f>COUNT(R87:R94)/8*100</f>
        <v>0</v>
      </c>
      <c r="S95" s="363"/>
      <c r="T95" s="441">
        <v>9</v>
      </c>
      <c r="U95" s="364">
        <v>1</v>
      </c>
      <c r="V95" s="364">
        <v>1</v>
      </c>
      <c r="W95" s="364"/>
      <c r="X95" s="354"/>
    </row>
    <row r="96" spans="2:105" x14ac:dyDescent="0.2">
      <c r="T96" s="441">
        <v>10</v>
      </c>
      <c r="U96" s="344">
        <v>1</v>
      </c>
      <c r="V96" s="344"/>
      <c r="W96" s="344"/>
      <c r="X96" s="344"/>
    </row>
    <row r="97" spans="2:105" x14ac:dyDescent="0.2">
      <c r="T97" s="398" t="s">
        <v>992</v>
      </c>
      <c r="U97" s="344">
        <f>COUNT(U87:U96)/10*100</f>
        <v>100</v>
      </c>
      <c r="V97" s="344">
        <f t="shared" ref="V97:X97" si="7">COUNT(V87:V96)/10*100</f>
        <v>90</v>
      </c>
      <c r="W97" s="344">
        <f t="shared" si="7"/>
        <v>20</v>
      </c>
      <c r="X97" s="344">
        <f t="shared" si="7"/>
        <v>0</v>
      </c>
    </row>
    <row r="100" spans="2:105" x14ac:dyDescent="0.2">
      <c r="C100" s="355" t="s">
        <v>955</v>
      </c>
      <c r="E100" s="356"/>
      <c r="F100" s="356"/>
      <c r="I100" s="355" t="s">
        <v>955</v>
      </c>
      <c r="K100" s="356"/>
      <c r="L100" s="356"/>
      <c r="M100" s="366"/>
      <c r="O100" s="355" t="s">
        <v>955</v>
      </c>
      <c r="Q100" s="356"/>
      <c r="R100" s="356"/>
      <c r="S100" s="363"/>
      <c r="U100" s="355" t="s">
        <v>955</v>
      </c>
      <c r="W100" s="356"/>
      <c r="X100" s="356"/>
    </row>
    <row r="101" spans="2:105" x14ac:dyDescent="0.2">
      <c r="B101" s="445" t="s">
        <v>978</v>
      </c>
      <c r="C101" s="357" t="s">
        <v>298</v>
      </c>
      <c r="D101" s="357" t="s">
        <v>943</v>
      </c>
      <c r="E101" s="357" t="s">
        <v>944</v>
      </c>
      <c r="F101" s="357" t="s">
        <v>945</v>
      </c>
      <c r="H101" s="445" t="s">
        <v>196</v>
      </c>
      <c r="I101" s="357" t="s">
        <v>298</v>
      </c>
      <c r="J101" s="357" t="s">
        <v>943</v>
      </c>
      <c r="K101" s="357" t="s">
        <v>944</v>
      </c>
      <c r="L101" s="357" t="s">
        <v>945</v>
      </c>
      <c r="M101" s="363"/>
      <c r="N101" s="445" t="s">
        <v>199</v>
      </c>
      <c r="O101" s="357" t="s">
        <v>298</v>
      </c>
      <c r="P101" s="357" t="s">
        <v>943</v>
      </c>
      <c r="Q101" s="357" t="s">
        <v>944</v>
      </c>
      <c r="R101" s="357" t="s">
        <v>945</v>
      </c>
      <c r="S101" s="363"/>
      <c r="T101" s="445" t="s">
        <v>202</v>
      </c>
      <c r="U101" s="357" t="s">
        <v>298</v>
      </c>
      <c r="V101" s="357" t="s">
        <v>943</v>
      </c>
      <c r="W101" s="357" t="s">
        <v>944</v>
      </c>
      <c r="X101" s="357" t="s">
        <v>945</v>
      </c>
    </row>
    <row r="102" spans="2:105" x14ac:dyDescent="0.2">
      <c r="B102" s="440" t="s">
        <v>957</v>
      </c>
      <c r="C102" s="358" t="s">
        <v>946</v>
      </c>
      <c r="D102" s="358" t="s">
        <v>946</v>
      </c>
      <c r="E102" s="358" t="s">
        <v>946</v>
      </c>
      <c r="F102" s="358" t="s">
        <v>946</v>
      </c>
      <c r="H102" s="440" t="s">
        <v>957</v>
      </c>
      <c r="I102" s="358" t="s">
        <v>946</v>
      </c>
      <c r="J102" s="358" t="s">
        <v>946</v>
      </c>
      <c r="K102" s="358" t="s">
        <v>946</v>
      </c>
      <c r="L102" s="358" t="s">
        <v>946</v>
      </c>
      <c r="M102" s="363"/>
      <c r="N102" s="440" t="s">
        <v>957</v>
      </c>
      <c r="O102" s="358" t="s">
        <v>946</v>
      </c>
      <c r="P102" s="358" t="s">
        <v>946</v>
      </c>
      <c r="Q102" s="358" t="s">
        <v>946</v>
      </c>
      <c r="R102" s="358" t="s">
        <v>946</v>
      </c>
      <c r="S102" s="363"/>
      <c r="T102" s="440" t="s">
        <v>957</v>
      </c>
      <c r="U102" s="358" t="s">
        <v>946</v>
      </c>
      <c r="V102" s="358" t="s">
        <v>946</v>
      </c>
      <c r="W102" s="358" t="s">
        <v>946</v>
      </c>
      <c r="X102" s="358" t="s">
        <v>946</v>
      </c>
      <c r="Y102" s="303"/>
      <c r="Z102" s="303"/>
      <c r="AA102" s="303"/>
      <c r="AB102" s="303"/>
      <c r="AC102" s="303"/>
      <c r="AD102" s="303"/>
      <c r="AE102" s="303"/>
      <c r="AF102" s="303"/>
      <c r="AG102" s="303"/>
      <c r="AH102" s="303"/>
      <c r="AI102" s="303"/>
      <c r="AJ102" s="303"/>
      <c r="AK102" s="303"/>
      <c r="AL102" s="303"/>
      <c r="AM102" s="303"/>
      <c r="AN102" s="303"/>
      <c r="AO102" s="303"/>
      <c r="AP102" s="303"/>
      <c r="AQ102" s="303"/>
      <c r="AR102" s="303"/>
      <c r="AS102" s="303"/>
      <c r="AT102" s="303"/>
      <c r="AU102" s="303"/>
      <c r="AV102" s="303"/>
      <c r="AW102" s="303"/>
      <c r="AX102" s="303"/>
      <c r="AY102" s="303"/>
      <c r="AZ102" s="303"/>
      <c r="BA102" s="303"/>
      <c r="BB102" s="303"/>
      <c r="BC102" s="303"/>
      <c r="BD102" s="303"/>
      <c r="BE102" s="303"/>
      <c r="BF102" s="303"/>
      <c r="BG102" s="303"/>
      <c r="BH102" s="303"/>
      <c r="BI102" s="303"/>
      <c r="BJ102" s="303"/>
      <c r="BK102" s="303"/>
      <c r="BL102" s="303"/>
      <c r="BM102" s="303"/>
      <c r="BN102" s="303"/>
      <c r="BO102" s="303"/>
      <c r="BP102" s="303"/>
      <c r="BQ102" s="303"/>
      <c r="BR102" s="303"/>
      <c r="BS102" s="303"/>
      <c r="BT102" s="303"/>
      <c r="BU102" s="303"/>
      <c r="BV102" s="303"/>
      <c r="BW102" s="303"/>
      <c r="BX102" s="303"/>
      <c r="BY102" s="303"/>
      <c r="BZ102" s="303"/>
      <c r="CA102" s="303"/>
      <c r="CB102" s="303"/>
      <c r="CC102" s="303"/>
      <c r="CD102" s="303"/>
      <c r="CE102" s="303"/>
      <c r="CF102" s="303"/>
      <c r="CG102" s="303"/>
      <c r="CH102" s="303"/>
      <c r="CI102" s="303"/>
      <c r="CJ102" s="303"/>
      <c r="CK102" s="303"/>
      <c r="CL102" s="303"/>
      <c r="CM102" s="303"/>
      <c r="CN102" s="303"/>
      <c r="CO102" s="303"/>
      <c r="CP102" s="303"/>
      <c r="CQ102" s="303"/>
      <c r="CR102" s="303"/>
      <c r="CS102" s="303"/>
      <c r="CT102" s="303"/>
      <c r="CU102" s="303"/>
      <c r="CV102" s="303"/>
      <c r="CW102" s="303"/>
      <c r="CX102" s="303"/>
      <c r="CY102" s="303"/>
      <c r="CZ102" s="303"/>
      <c r="DA102" s="303"/>
    </row>
    <row r="103" spans="2:105" x14ac:dyDescent="0.2">
      <c r="B103" s="441">
        <v>1</v>
      </c>
      <c r="C103" s="362">
        <v>1</v>
      </c>
      <c r="D103" s="362">
        <v>1</v>
      </c>
      <c r="E103" s="362">
        <v>1</v>
      </c>
      <c r="F103" s="362">
        <v>1</v>
      </c>
      <c r="H103" s="441">
        <v>1</v>
      </c>
      <c r="I103" s="364">
        <v>1</v>
      </c>
      <c r="J103" s="364">
        <v>1</v>
      </c>
      <c r="K103" s="364">
        <v>1</v>
      </c>
      <c r="L103" s="364">
        <v>1</v>
      </c>
      <c r="M103" s="363"/>
      <c r="N103" s="441">
        <v>1</v>
      </c>
      <c r="O103" s="364">
        <v>1</v>
      </c>
      <c r="P103" s="364">
        <v>1</v>
      </c>
      <c r="Q103" s="364">
        <v>1</v>
      </c>
      <c r="R103" s="364">
        <v>1</v>
      </c>
      <c r="S103" s="363"/>
      <c r="T103" s="441">
        <v>1</v>
      </c>
      <c r="U103" s="364">
        <v>1</v>
      </c>
      <c r="V103" s="364">
        <v>1</v>
      </c>
      <c r="W103" s="364">
        <v>1</v>
      </c>
      <c r="X103" s="364">
        <v>1</v>
      </c>
      <c r="Y103" s="290"/>
      <c r="Z103" s="290"/>
      <c r="AA103" s="290"/>
      <c r="AB103" s="290"/>
      <c r="AC103" s="290"/>
      <c r="AD103" s="290"/>
      <c r="AE103" s="290"/>
      <c r="AF103" s="290"/>
      <c r="AG103" s="290"/>
      <c r="AH103" s="290"/>
      <c r="AI103" s="290"/>
      <c r="AJ103" s="290"/>
      <c r="AK103" s="290"/>
      <c r="AL103" s="290"/>
      <c r="AM103" s="290"/>
      <c r="AN103" s="290"/>
      <c r="AO103" s="290"/>
      <c r="AP103" s="290"/>
      <c r="AQ103" s="290"/>
      <c r="AR103" s="290"/>
      <c r="AS103" s="290"/>
      <c r="AT103" s="290"/>
      <c r="AU103" s="290"/>
      <c r="AV103" s="290"/>
      <c r="AW103" s="290"/>
      <c r="AX103" s="290"/>
      <c r="AY103" s="290"/>
      <c r="AZ103" s="290"/>
      <c r="BA103" s="290"/>
      <c r="BB103" s="290"/>
      <c r="BC103" s="290"/>
      <c r="BD103" s="290"/>
      <c r="BE103" s="290"/>
      <c r="BF103" s="290"/>
      <c r="BG103" s="290"/>
      <c r="BH103" s="290"/>
      <c r="BI103" s="290"/>
      <c r="BJ103" s="290"/>
      <c r="BK103" s="290"/>
      <c r="BL103" s="290"/>
      <c r="BM103" s="290"/>
      <c r="BN103" s="290"/>
      <c r="BO103" s="290"/>
      <c r="BP103" s="290"/>
      <c r="BQ103" s="290"/>
      <c r="BR103" s="290"/>
      <c r="BS103" s="290"/>
      <c r="BT103" s="290"/>
      <c r="BU103" s="290"/>
      <c r="BV103" s="290"/>
      <c r="BW103" s="290"/>
      <c r="BX103" s="290"/>
      <c r="BY103" s="290"/>
      <c r="BZ103" s="290"/>
      <c r="CA103" s="290"/>
      <c r="CB103" s="290"/>
      <c r="CC103" s="290"/>
      <c r="CD103" s="290"/>
      <c r="CE103" s="290"/>
      <c r="CF103" s="290"/>
      <c r="CG103" s="290"/>
      <c r="CH103" s="290"/>
      <c r="CI103" s="290"/>
      <c r="CJ103" s="290"/>
      <c r="CK103" s="290"/>
      <c r="CL103" s="290"/>
      <c r="CM103" s="290"/>
      <c r="CN103" s="290"/>
      <c r="CO103" s="290"/>
      <c r="CP103" s="290"/>
      <c r="CQ103" s="290"/>
      <c r="CR103" s="290"/>
      <c r="CS103" s="290"/>
      <c r="CT103" s="290"/>
      <c r="CU103" s="290"/>
      <c r="CV103" s="290"/>
      <c r="CW103" s="290"/>
      <c r="CX103" s="290"/>
      <c r="CY103" s="290"/>
      <c r="CZ103" s="290"/>
      <c r="DA103" s="303"/>
    </row>
    <row r="104" spans="2:105" x14ac:dyDescent="0.2">
      <c r="B104" s="441">
        <v>2</v>
      </c>
      <c r="C104" s="362">
        <v>1</v>
      </c>
      <c r="D104" s="362">
        <v>1</v>
      </c>
      <c r="E104" s="362">
        <v>1</v>
      </c>
      <c r="F104" s="362">
        <v>1</v>
      </c>
      <c r="H104" s="441">
        <v>2</v>
      </c>
      <c r="I104" s="364">
        <v>1</v>
      </c>
      <c r="J104" s="364">
        <v>1</v>
      </c>
      <c r="K104" s="364">
        <v>1</v>
      </c>
      <c r="L104" s="364"/>
      <c r="M104" s="363"/>
      <c r="N104" s="441">
        <v>2</v>
      </c>
      <c r="O104" s="364">
        <v>1</v>
      </c>
      <c r="P104" s="364">
        <v>1</v>
      </c>
      <c r="Q104" s="364">
        <v>1</v>
      </c>
      <c r="R104" s="364">
        <v>1</v>
      </c>
      <c r="S104" s="363"/>
      <c r="T104" s="441">
        <v>2</v>
      </c>
      <c r="U104" s="364">
        <v>1</v>
      </c>
      <c r="V104" s="364">
        <v>1</v>
      </c>
      <c r="W104" s="364">
        <v>1</v>
      </c>
      <c r="X104" s="364">
        <v>1</v>
      </c>
      <c r="Y104" s="360"/>
      <c r="Z104" s="360"/>
      <c r="AA104" s="360"/>
      <c r="AB104" s="360"/>
      <c r="AC104" s="360"/>
      <c r="AD104" s="360"/>
      <c r="AE104" s="360"/>
      <c r="AF104" s="360"/>
      <c r="AG104" s="360"/>
      <c r="AH104" s="360"/>
      <c r="AI104" s="360"/>
      <c r="AJ104" s="360"/>
      <c r="AK104" s="360"/>
      <c r="AL104" s="360"/>
      <c r="AM104" s="360"/>
      <c r="AN104" s="360"/>
      <c r="AO104" s="360"/>
      <c r="AP104" s="360"/>
      <c r="AQ104" s="360"/>
      <c r="AR104" s="360"/>
      <c r="AS104" s="360"/>
      <c r="AT104" s="360"/>
      <c r="AU104" s="360"/>
      <c r="AV104" s="360"/>
      <c r="AW104" s="360"/>
      <c r="AX104" s="360"/>
      <c r="AY104" s="360"/>
      <c r="AZ104" s="360"/>
      <c r="BA104" s="360"/>
      <c r="BB104" s="360"/>
      <c r="BC104" s="360"/>
      <c r="BD104" s="360"/>
      <c r="BE104" s="360"/>
      <c r="BF104" s="360"/>
      <c r="BG104" s="360"/>
      <c r="BH104" s="360"/>
      <c r="BI104" s="360"/>
      <c r="BJ104" s="360"/>
      <c r="BK104" s="360"/>
      <c r="BL104" s="360"/>
      <c r="BM104" s="360"/>
      <c r="BN104" s="360"/>
      <c r="BO104" s="360"/>
      <c r="BP104" s="360"/>
      <c r="BQ104" s="360"/>
      <c r="BR104" s="360"/>
      <c r="BS104" s="360"/>
      <c r="BT104" s="360"/>
      <c r="BU104" s="360"/>
      <c r="BV104" s="360"/>
      <c r="BW104" s="360"/>
      <c r="BX104" s="360"/>
      <c r="BY104" s="360"/>
      <c r="BZ104" s="360"/>
      <c r="CA104" s="360"/>
      <c r="CB104" s="360"/>
      <c r="CC104" s="360"/>
      <c r="CD104" s="360"/>
      <c r="CE104" s="360"/>
      <c r="CF104" s="360"/>
      <c r="CG104" s="360"/>
      <c r="CH104" s="360"/>
      <c r="CI104" s="360"/>
      <c r="CJ104" s="360"/>
      <c r="CK104" s="360"/>
      <c r="CL104" s="360"/>
      <c r="CM104" s="360"/>
      <c r="CN104" s="360"/>
      <c r="CO104" s="360"/>
      <c r="CP104" s="360"/>
      <c r="CQ104" s="360"/>
      <c r="CR104" s="360"/>
      <c r="CS104" s="360"/>
      <c r="CT104" s="360"/>
      <c r="CU104" s="360"/>
      <c r="CV104" s="360"/>
      <c r="CW104" s="361"/>
      <c r="CX104" s="360"/>
      <c r="CY104" s="360"/>
      <c r="CZ104" s="360"/>
      <c r="DA104" s="303"/>
    </row>
    <row r="105" spans="2:105" x14ac:dyDescent="0.2">
      <c r="B105" s="441">
        <v>3</v>
      </c>
      <c r="C105" s="362">
        <v>1</v>
      </c>
      <c r="D105" s="362">
        <v>1</v>
      </c>
      <c r="E105" s="362">
        <v>1</v>
      </c>
      <c r="F105" s="362">
        <v>1</v>
      </c>
      <c r="H105" s="441">
        <v>3</v>
      </c>
      <c r="I105" s="364">
        <v>1</v>
      </c>
      <c r="J105" s="183">
        <v>1</v>
      </c>
      <c r="K105" s="344">
        <v>1</v>
      </c>
      <c r="L105" s="344"/>
      <c r="M105" s="363"/>
      <c r="N105" s="441">
        <v>3</v>
      </c>
      <c r="O105" s="364">
        <v>1</v>
      </c>
      <c r="P105" s="364">
        <v>1</v>
      </c>
      <c r="Q105" s="364">
        <v>1</v>
      </c>
      <c r="R105" s="364">
        <v>1</v>
      </c>
      <c r="S105" s="363"/>
      <c r="T105" s="441">
        <v>3</v>
      </c>
      <c r="U105" s="364">
        <v>1</v>
      </c>
      <c r="V105" s="364">
        <v>1</v>
      </c>
      <c r="W105" s="364">
        <v>1</v>
      </c>
      <c r="X105" s="364">
        <v>1</v>
      </c>
    </row>
    <row r="106" spans="2:105" x14ac:dyDescent="0.2">
      <c r="B106" s="441">
        <v>4</v>
      </c>
      <c r="C106" s="362">
        <v>1</v>
      </c>
      <c r="D106" s="362">
        <v>1</v>
      </c>
      <c r="E106" s="362">
        <v>1</v>
      </c>
      <c r="F106" s="362">
        <v>1</v>
      </c>
      <c r="H106" s="441">
        <v>4</v>
      </c>
      <c r="I106" s="364">
        <v>1</v>
      </c>
      <c r="J106" s="364">
        <v>1</v>
      </c>
      <c r="K106" s="364"/>
      <c r="L106" s="364"/>
      <c r="M106" s="363"/>
      <c r="N106" s="441">
        <v>4</v>
      </c>
      <c r="O106" s="364">
        <v>1</v>
      </c>
      <c r="P106" s="364">
        <v>1</v>
      </c>
      <c r="Q106" s="364">
        <v>1</v>
      </c>
      <c r="R106" s="364">
        <v>1</v>
      </c>
      <c r="S106" s="363"/>
      <c r="T106" s="441">
        <v>4</v>
      </c>
      <c r="U106" s="368">
        <v>1</v>
      </c>
      <c r="V106" s="369">
        <v>1</v>
      </c>
      <c r="W106" s="369">
        <v>1</v>
      </c>
      <c r="X106" s="369"/>
    </row>
    <row r="107" spans="2:105" x14ac:dyDescent="0.2">
      <c r="B107" s="441">
        <v>5</v>
      </c>
      <c r="C107" s="362">
        <v>1</v>
      </c>
      <c r="D107" s="362">
        <v>1</v>
      </c>
      <c r="E107" s="362">
        <v>1</v>
      </c>
      <c r="F107" s="362">
        <v>1</v>
      </c>
      <c r="H107" s="441">
        <v>5</v>
      </c>
      <c r="I107" s="364">
        <v>1</v>
      </c>
      <c r="J107" s="364"/>
      <c r="K107" s="364"/>
      <c r="L107" s="354"/>
      <c r="N107" s="441">
        <v>5</v>
      </c>
      <c r="O107" s="364">
        <v>1</v>
      </c>
      <c r="P107" s="364">
        <v>1</v>
      </c>
      <c r="Q107" s="364">
        <v>1</v>
      </c>
      <c r="R107" s="364">
        <v>1</v>
      </c>
      <c r="S107" s="363"/>
      <c r="T107" s="441">
        <v>5</v>
      </c>
      <c r="U107" s="370">
        <v>1</v>
      </c>
      <c r="V107" s="371">
        <v>1</v>
      </c>
      <c r="W107" s="371">
        <v>1</v>
      </c>
      <c r="X107" s="371"/>
    </row>
    <row r="108" spans="2:105" x14ac:dyDescent="0.2">
      <c r="B108" s="441">
        <v>6</v>
      </c>
      <c r="C108" s="362">
        <v>1</v>
      </c>
      <c r="D108" s="362">
        <v>1</v>
      </c>
      <c r="E108" s="362">
        <v>1</v>
      </c>
      <c r="F108" s="362">
        <v>1</v>
      </c>
      <c r="H108" s="441">
        <v>6</v>
      </c>
      <c r="I108" s="364">
        <v>1</v>
      </c>
      <c r="J108" s="364"/>
      <c r="K108" s="364"/>
      <c r="L108" s="354"/>
      <c r="M108" s="303"/>
      <c r="N108" s="441">
        <v>6</v>
      </c>
      <c r="O108" s="364">
        <v>1</v>
      </c>
      <c r="P108" s="364">
        <v>1</v>
      </c>
      <c r="Q108" s="364">
        <v>1</v>
      </c>
      <c r="R108" s="364">
        <v>1</v>
      </c>
      <c r="S108" s="303"/>
      <c r="T108" s="441">
        <v>6</v>
      </c>
      <c r="U108" s="370">
        <v>1</v>
      </c>
      <c r="V108" s="371">
        <v>1</v>
      </c>
      <c r="W108" s="371">
        <v>1</v>
      </c>
      <c r="X108" s="371"/>
    </row>
    <row r="109" spans="2:105" x14ac:dyDescent="0.2">
      <c r="B109" s="441">
        <v>7</v>
      </c>
      <c r="C109" s="362">
        <v>1</v>
      </c>
      <c r="D109" s="362">
        <v>1</v>
      </c>
      <c r="E109" s="362">
        <v>1</v>
      </c>
      <c r="F109" s="362">
        <v>1</v>
      </c>
      <c r="H109" s="441">
        <v>7</v>
      </c>
      <c r="I109" s="364">
        <v>1</v>
      </c>
      <c r="J109" s="364"/>
      <c r="K109" s="364"/>
      <c r="L109" s="354"/>
      <c r="M109" s="360"/>
      <c r="N109" s="441">
        <v>7</v>
      </c>
      <c r="O109" s="364">
        <v>1</v>
      </c>
      <c r="P109" s="364">
        <v>1</v>
      </c>
      <c r="Q109" s="367">
        <v>1</v>
      </c>
      <c r="R109" s="364">
        <v>1</v>
      </c>
      <c r="S109" s="360"/>
      <c r="T109" s="441">
        <v>7</v>
      </c>
      <c r="U109" s="368">
        <v>1</v>
      </c>
      <c r="V109" s="369">
        <v>1</v>
      </c>
      <c r="W109" s="369">
        <v>1</v>
      </c>
      <c r="X109" s="369"/>
    </row>
    <row r="110" spans="2:105" x14ac:dyDescent="0.2">
      <c r="B110" s="441">
        <v>8</v>
      </c>
      <c r="C110" s="362">
        <v>1</v>
      </c>
      <c r="D110" s="362">
        <v>1</v>
      </c>
      <c r="E110" s="362">
        <v>1</v>
      </c>
      <c r="F110" s="362">
        <v>1</v>
      </c>
      <c r="H110" s="398" t="s">
        <v>992</v>
      </c>
      <c r="I110" s="344">
        <f>COUNT(I103:I109)/7*100</f>
        <v>100</v>
      </c>
      <c r="J110" s="344">
        <f t="shared" ref="J110:L110" si="8">COUNT(J103:J109)/7*100</f>
        <v>57.142857142857139</v>
      </c>
      <c r="K110" s="344">
        <f t="shared" si="8"/>
        <v>42.857142857142854</v>
      </c>
      <c r="L110" s="344">
        <f t="shared" si="8"/>
        <v>14.285714285714285</v>
      </c>
      <c r="M110" s="360"/>
      <c r="N110" s="441">
        <v>8</v>
      </c>
      <c r="O110" s="364">
        <v>1</v>
      </c>
      <c r="P110" s="364">
        <v>1</v>
      </c>
      <c r="Q110" s="364">
        <v>1</v>
      </c>
      <c r="R110" s="364">
        <v>1</v>
      </c>
      <c r="S110" s="360"/>
      <c r="T110" s="441">
        <v>8</v>
      </c>
      <c r="U110" s="370">
        <v>1</v>
      </c>
      <c r="V110" s="371">
        <v>1</v>
      </c>
      <c r="W110" s="371">
        <v>1</v>
      </c>
      <c r="X110" s="371"/>
    </row>
    <row r="111" spans="2:105" x14ac:dyDescent="0.2">
      <c r="B111" s="441">
        <v>9</v>
      </c>
      <c r="C111" s="362">
        <v>1</v>
      </c>
      <c r="D111" s="362">
        <v>1</v>
      </c>
      <c r="E111" s="362">
        <v>1</v>
      </c>
      <c r="F111" s="362">
        <v>1</v>
      </c>
      <c r="H111" s="303"/>
      <c r="I111" s="373"/>
      <c r="J111" s="373"/>
      <c r="K111" s="373"/>
      <c r="L111" s="360"/>
      <c r="M111" s="360"/>
      <c r="N111" s="441">
        <v>9</v>
      </c>
      <c r="O111" s="364">
        <v>1</v>
      </c>
      <c r="P111" s="364">
        <v>1</v>
      </c>
      <c r="Q111" s="364">
        <v>1</v>
      </c>
      <c r="R111" s="364">
        <v>1</v>
      </c>
      <c r="S111" s="360"/>
      <c r="T111" s="441">
        <v>9</v>
      </c>
      <c r="U111" s="370">
        <v>1</v>
      </c>
      <c r="V111" s="371">
        <v>1</v>
      </c>
      <c r="W111" s="371">
        <v>1</v>
      </c>
      <c r="X111" s="371"/>
    </row>
    <row r="112" spans="2:105" x14ac:dyDescent="0.2">
      <c r="B112" s="441">
        <v>10</v>
      </c>
      <c r="C112" s="362">
        <v>1</v>
      </c>
      <c r="D112" s="362">
        <v>1</v>
      </c>
      <c r="E112" s="362">
        <v>1</v>
      </c>
      <c r="F112" s="362">
        <v>1</v>
      </c>
      <c r="H112" s="303"/>
      <c r="I112" s="373"/>
      <c r="J112" s="373"/>
      <c r="K112" s="373"/>
      <c r="L112" s="360"/>
      <c r="M112" s="360"/>
      <c r="N112" s="398" t="s">
        <v>992</v>
      </c>
      <c r="O112" s="344">
        <f>COUNT(O103:O111)/9*100</f>
        <v>100</v>
      </c>
      <c r="P112" s="344">
        <f t="shared" ref="P112:R112" si="9">COUNT(P103:P111)/9*100</f>
        <v>100</v>
      </c>
      <c r="Q112" s="344">
        <f t="shared" si="9"/>
        <v>100</v>
      </c>
      <c r="R112" s="344">
        <f t="shared" si="9"/>
        <v>100</v>
      </c>
      <c r="S112" s="360"/>
      <c r="T112" s="398" t="s">
        <v>992</v>
      </c>
      <c r="U112" s="344">
        <f>COUNT(U103:U111)/9*100</f>
        <v>100</v>
      </c>
      <c r="V112" s="344">
        <f t="shared" ref="V112:X112" si="10">COUNT(V103:V111)/9*100</f>
        <v>100</v>
      </c>
      <c r="W112" s="344">
        <f t="shared" si="10"/>
        <v>100</v>
      </c>
      <c r="X112" s="344">
        <f t="shared" si="10"/>
        <v>33.333333333333329</v>
      </c>
    </row>
    <row r="113" spans="2:105" x14ac:dyDescent="0.2">
      <c r="B113" s="441">
        <v>11</v>
      </c>
      <c r="C113" s="364">
        <v>1</v>
      </c>
      <c r="D113" s="364">
        <v>1</v>
      </c>
      <c r="E113" s="374">
        <v>1</v>
      </c>
      <c r="F113" s="364">
        <v>1</v>
      </c>
      <c r="H113" s="303"/>
      <c r="I113" s="373"/>
      <c r="J113" s="373"/>
      <c r="K113" s="373"/>
      <c r="L113" s="360"/>
      <c r="M113" s="375"/>
      <c r="N113" s="360"/>
      <c r="O113" s="373"/>
      <c r="P113" s="373"/>
      <c r="Q113" s="360"/>
      <c r="R113" s="360"/>
      <c r="S113" s="360"/>
    </row>
    <row r="114" spans="2:105" x14ac:dyDescent="0.2">
      <c r="B114" s="441">
        <v>12</v>
      </c>
      <c r="C114" s="364">
        <v>1</v>
      </c>
      <c r="D114" s="364">
        <v>1</v>
      </c>
      <c r="E114" s="374"/>
      <c r="F114" s="364"/>
      <c r="H114" s="303"/>
      <c r="I114" s="373"/>
      <c r="J114" s="373"/>
      <c r="K114" s="360"/>
      <c r="L114" s="360"/>
      <c r="M114" s="373"/>
      <c r="N114" s="360"/>
      <c r="O114" s="373"/>
      <c r="P114" s="373"/>
      <c r="Q114" s="360"/>
      <c r="R114" s="360"/>
      <c r="S114" s="360"/>
      <c r="T114" s="360"/>
      <c r="U114" s="373"/>
      <c r="V114" s="373"/>
      <c r="W114" s="360"/>
      <c r="X114" s="360"/>
    </row>
    <row r="115" spans="2:105" x14ac:dyDescent="0.2">
      <c r="B115" s="398" t="s">
        <v>992</v>
      </c>
      <c r="C115" s="344">
        <f>COUNT(C103:C114)/12*100</f>
        <v>100</v>
      </c>
      <c r="D115" s="344">
        <f>COUNT(D103:D114)/12*100</f>
        <v>100</v>
      </c>
      <c r="E115" s="344">
        <f>COUNT(E103:E114)/12*100</f>
        <v>91.666666666666657</v>
      </c>
      <c r="F115" s="344">
        <f>COUNT(F103:F114)/12*100</f>
        <v>91.666666666666657</v>
      </c>
      <c r="H115" s="303"/>
      <c r="I115" s="373"/>
      <c r="J115" s="373"/>
      <c r="K115" s="360"/>
      <c r="L115" s="360"/>
      <c r="M115" s="373"/>
      <c r="N115" s="360"/>
      <c r="O115" s="373"/>
      <c r="P115" s="373"/>
      <c r="Q115" s="360"/>
      <c r="R115" s="360"/>
      <c r="S115" s="360"/>
      <c r="T115" s="360"/>
      <c r="U115" s="373"/>
      <c r="V115" s="373"/>
      <c r="W115" s="360"/>
      <c r="X115" s="360"/>
    </row>
    <row r="116" spans="2:105" x14ac:dyDescent="0.2">
      <c r="B116" s="343"/>
      <c r="C116" s="376"/>
      <c r="D116" s="376"/>
      <c r="E116" s="376"/>
      <c r="F116" s="376"/>
      <c r="H116" s="303"/>
      <c r="I116" s="373"/>
      <c r="J116" s="360"/>
      <c r="K116" s="360"/>
      <c r="L116" s="360"/>
      <c r="M116" s="373"/>
      <c r="N116" s="360"/>
      <c r="O116" s="373"/>
      <c r="P116" s="373"/>
      <c r="Q116" s="360"/>
      <c r="R116" s="360"/>
      <c r="S116" s="360"/>
      <c r="T116" s="360"/>
      <c r="U116" s="373"/>
      <c r="V116" s="373"/>
      <c r="W116" s="360"/>
      <c r="X116" s="360"/>
    </row>
    <row r="117" spans="2:105" x14ac:dyDescent="0.2">
      <c r="B117" s="303"/>
      <c r="C117" s="377"/>
      <c r="D117" s="377"/>
      <c r="E117" s="377"/>
      <c r="F117" s="377"/>
      <c r="H117" s="303"/>
      <c r="I117" s="373"/>
      <c r="J117" s="360"/>
      <c r="K117" s="360"/>
      <c r="L117" s="360"/>
      <c r="M117" s="373"/>
      <c r="N117" s="360"/>
      <c r="O117" s="373"/>
      <c r="P117" s="373"/>
      <c r="Q117" s="360"/>
      <c r="R117" s="360"/>
      <c r="S117" s="360"/>
      <c r="T117" s="360"/>
      <c r="U117" s="373"/>
      <c r="V117" s="373"/>
      <c r="W117" s="360"/>
      <c r="X117" s="360"/>
      <c r="Y117" s="303"/>
      <c r="Z117" s="303"/>
      <c r="AA117" s="303"/>
      <c r="AB117" s="303"/>
      <c r="AC117" s="303"/>
      <c r="AD117" s="303"/>
      <c r="AE117" s="303"/>
      <c r="AF117" s="303"/>
      <c r="AG117" s="303"/>
      <c r="AH117" s="303"/>
      <c r="AI117" s="303"/>
      <c r="AJ117" s="303"/>
      <c r="AK117" s="303"/>
      <c r="AL117" s="303"/>
      <c r="AM117" s="303"/>
      <c r="AN117" s="303"/>
      <c r="AO117" s="303"/>
      <c r="AP117" s="303"/>
      <c r="AQ117" s="303"/>
      <c r="AR117" s="303"/>
      <c r="AS117" s="303"/>
      <c r="AT117" s="303"/>
      <c r="AU117" s="303"/>
      <c r="AV117" s="303"/>
      <c r="AW117" s="303"/>
      <c r="AX117" s="303"/>
      <c r="AY117" s="303"/>
      <c r="AZ117" s="303"/>
      <c r="BA117" s="303"/>
      <c r="BB117" s="303"/>
      <c r="BC117" s="303"/>
      <c r="BD117" s="303"/>
      <c r="BE117" s="303"/>
      <c r="BF117" s="303"/>
      <c r="BG117" s="303"/>
      <c r="BH117" s="303"/>
      <c r="BI117" s="303"/>
      <c r="BJ117" s="303"/>
      <c r="BK117" s="303"/>
      <c r="BL117" s="303"/>
      <c r="BM117" s="303"/>
      <c r="BN117" s="303"/>
      <c r="BO117" s="303"/>
      <c r="BP117" s="303"/>
      <c r="BQ117" s="303"/>
      <c r="BR117" s="303"/>
      <c r="BS117" s="303"/>
      <c r="BT117" s="303"/>
      <c r="BU117" s="303"/>
      <c r="BV117" s="303"/>
      <c r="BW117" s="303"/>
      <c r="BX117" s="303"/>
      <c r="BY117" s="303"/>
      <c r="BZ117" s="303"/>
      <c r="CA117" s="303"/>
      <c r="CB117" s="303"/>
      <c r="CC117" s="303"/>
      <c r="CD117" s="303"/>
      <c r="CE117" s="303"/>
      <c r="CF117" s="303"/>
      <c r="CG117" s="303"/>
      <c r="CH117" s="303"/>
      <c r="CI117" s="303"/>
      <c r="CJ117" s="303"/>
      <c r="CK117" s="303"/>
      <c r="CL117" s="303"/>
      <c r="CM117" s="303"/>
      <c r="CN117" s="303"/>
      <c r="CO117" s="303"/>
      <c r="CP117" s="303"/>
      <c r="CQ117" s="303"/>
      <c r="CR117" s="303"/>
      <c r="CS117" s="303"/>
      <c r="CT117" s="303"/>
      <c r="CU117" s="303"/>
      <c r="CV117" s="303"/>
      <c r="CW117" s="303"/>
      <c r="CX117" s="303"/>
      <c r="CY117" s="303"/>
      <c r="CZ117" s="303"/>
      <c r="DA117" s="303"/>
    </row>
    <row r="118" spans="2:105" x14ac:dyDescent="0.2">
      <c r="C118" s="355" t="s">
        <v>955</v>
      </c>
      <c r="E118" s="356"/>
      <c r="F118" s="356"/>
      <c r="H118" s="303"/>
      <c r="I118" s="373"/>
      <c r="J118" s="360"/>
      <c r="K118" s="360"/>
      <c r="L118" s="360"/>
      <c r="M118" s="373"/>
      <c r="N118" s="360"/>
      <c r="O118" s="373"/>
      <c r="P118" s="373"/>
      <c r="Q118" s="360"/>
      <c r="R118" s="360"/>
      <c r="S118" s="360"/>
      <c r="T118" s="360"/>
      <c r="U118" s="373"/>
      <c r="V118" s="360"/>
      <c r="W118" s="360"/>
      <c r="X118" s="360"/>
      <c r="Y118" s="290"/>
      <c r="Z118" s="290"/>
      <c r="AA118" s="290"/>
      <c r="AB118" s="290"/>
      <c r="AC118" s="290"/>
      <c r="AD118" s="290"/>
      <c r="AE118" s="290"/>
      <c r="AF118" s="290"/>
      <c r="AG118" s="290"/>
      <c r="AH118" s="290"/>
      <c r="AI118" s="290"/>
      <c r="AJ118" s="290"/>
      <c r="AK118" s="290"/>
      <c r="AL118" s="290"/>
      <c r="AM118" s="290"/>
      <c r="AN118" s="290"/>
      <c r="AO118" s="290"/>
      <c r="AP118" s="290"/>
      <c r="AQ118" s="290"/>
      <c r="AR118" s="290"/>
      <c r="AS118" s="290"/>
      <c r="AT118" s="290"/>
      <c r="AU118" s="290"/>
      <c r="AV118" s="290"/>
      <c r="AW118" s="290"/>
      <c r="AX118" s="290"/>
      <c r="AY118" s="290"/>
      <c r="AZ118" s="290"/>
      <c r="BA118" s="290"/>
      <c r="BB118" s="290"/>
      <c r="BC118" s="290"/>
      <c r="BD118" s="290"/>
      <c r="BE118" s="290"/>
      <c r="BF118" s="290"/>
      <c r="BG118" s="290"/>
      <c r="BH118" s="290"/>
      <c r="BI118" s="290"/>
      <c r="BJ118" s="290"/>
      <c r="BK118" s="290"/>
      <c r="BL118" s="290"/>
      <c r="BM118" s="290"/>
      <c r="BN118" s="290"/>
      <c r="BO118" s="290"/>
      <c r="BP118" s="290"/>
      <c r="BQ118" s="290"/>
      <c r="BR118" s="290"/>
      <c r="BS118" s="290"/>
      <c r="BT118" s="290"/>
      <c r="BU118" s="290"/>
      <c r="BV118" s="290"/>
      <c r="BW118" s="290"/>
      <c r="BX118" s="290"/>
      <c r="BY118" s="290"/>
      <c r="BZ118" s="290"/>
      <c r="CA118" s="290"/>
      <c r="CB118" s="290"/>
      <c r="CC118" s="290"/>
      <c r="CD118" s="290"/>
      <c r="CE118" s="290"/>
      <c r="CF118" s="290"/>
      <c r="CG118" s="290"/>
      <c r="CH118" s="290"/>
      <c r="CI118" s="290"/>
      <c r="CJ118" s="290"/>
      <c r="CK118" s="290"/>
      <c r="CL118" s="290"/>
      <c r="CM118" s="290"/>
      <c r="CN118" s="290"/>
      <c r="CO118" s="290"/>
      <c r="CP118" s="290"/>
      <c r="CQ118" s="290"/>
      <c r="CR118" s="290"/>
      <c r="CS118" s="290"/>
      <c r="CT118" s="290"/>
      <c r="CU118" s="290"/>
      <c r="CV118" s="290"/>
      <c r="CW118" s="290"/>
      <c r="CX118" s="290"/>
      <c r="CY118" s="290"/>
      <c r="CZ118" s="290"/>
      <c r="DA118" s="303"/>
    </row>
    <row r="119" spans="2:105" x14ac:dyDescent="0.2">
      <c r="B119" s="445" t="s">
        <v>959</v>
      </c>
      <c r="C119" s="357" t="s">
        <v>298</v>
      </c>
      <c r="D119" s="357" t="s">
        <v>943</v>
      </c>
      <c r="E119" s="357" t="s">
        <v>944</v>
      </c>
      <c r="F119" s="357" t="s">
        <v>945</v>
      </c>
      <c r="H119" s="376"/>
      <c r="I119" s="303"/>
      <c r="J119" s="303"/>
      <c r="K119" s="303"/>
      <c r="L119" s="303"/>
      <c r="M119" s="303"/>
      <c r="N119" s="376"/>
      <c r="O119" s="303"/>
      <c r="P119" s="303"/>
      <c r="Q119" s="303"/>
      <c r="R119" s="303"/>
      <c r="S119" s="303"/>
      <c r="T119" s="376"/>
      <c r="U119" s="303"/>
      <c r="V119" s="303"/>
      <c r="W119" s="303"/>
      <c r="X119" s="303"/>
      <c r="Y119" s="360"/>
      <c r="Z119" s="360"/>
      <c r="AA119" s="360"/>
      <c r="AB119" s="360"/>
      <c r="AC119" s="360"/>
      <c r="AD119" s="360"/>
      <c r="AE119" s="360"/>
      <c r="AF119" s="360"/>
      <c r="AG119" s="360"/>
      <c r="AH119" s="360"/>
      <c r="AI119" s="360"/>
      <c r="AJ119" s="360"/>
      <c r="AK119" s="360"/>
      <c r="AL119" s="360"/>
      <c r="AM119" s="360"/>
      <c r="AN119" s="360"/>
      <c r="AO119" s="360"/>
      <c r="AP119" s="360"/>
      <c r="AQ119" s="360"/>
      <c r="AR119" s="360"/>
      <c r="AS119" s="360"/>
      <c r="AT119" s="360"/>
      <c r="AU119" s="360"/>
      <c r="AV119" s="360"/>
      <c r="AW119" s="360"/>
      <c r="AX119" s="360"/>
      <c r="AY119" s="360"/>
      <c r="AZ119" s="360"/>
      <c r="BA119" s="360"/>
      <c r="BB119" s="360"/>
      <c r="BC119" s="360"/>
      <c r="BD119" s="360"/>
      <c r="BE119" s="360"/>
      <c r="BF119" s="360"/>
      <c r="BG119" s="360"/>
      <c r="BH119" s="360"/>
      <c r="BI119" s="360"/>
      <c r="BJ119" s="360"/>
      <c r="BK119" s="360"/>
      <c r="BL119" s="360"/>
      <c r="BM119" s="360"/>
      <c r="BN119" s="360"/>
      <c r="BO119" s="360"/>
      <c r="BP119" s="360"/>
      <c r="BQ119" s="360"/>
      <c r="BR119" s="360"/>
      <c r="BS119" s="360"/>
      <c r="BT119" s="360"/>
      <c r="BU119" s="360"/>
      <c r="BV119" s="360"/>
      <c r="BW119" s="360"/>
      <c r="BX119" s="360"/>
      <c r="BY119" s="360"/>
      <c r="BZ119" s="360"/>
      <c r="CA119" s="360"/>
      <c r="CB119" s="360"/>
      <c r="CC119" s="360"/>
      <c r="CD119" s="360"/>
      <c r="CE119" s="360"/>
      <c r="CF119" s="360"/>
      <c r="CG119" s="360"/>
      <c r="CH119" s="360"/>
      <c r="CI119" s="360"/>
      <c r="CJ119" s="360"/>
      <c r="CK119" s="360"/>
      <c r="CL119" s="360"/>
      <c r="CM119" s="360"/>
      <c r="CN119" s="360"/>
      <c r="CO119" s="360"/>
      <c r="CP119" s="360"/>
      <c r="CQ119" s="360"/>
      <c r="CR119" s="360"/>
      <c r="CS119" s="360"/>
      <c r="CT119" s="360"/>
      <c r="CU119" s="360"/>
      <c r="CV119" s="360"/>
      <c r="CW119" s="361"/>
      <c r="CX119" s="360"/>
      <c r="CY119" s="360"/>
      <c r="CZ119" s="360"/>
      <c r="DA119" s="303"/>
    </row>
    <row r="120" spans="2:105" x14ac:dyDescent="0.2">
      <c r="B120" s="440" t="s">
        <v>957</v>
      </c>
      <c r="C120" s="358" t="s">
        <v>946</v>
      </c>
      <c r="D120" s="358" t="s">
        <v>946</v>
      </c>
      <c r="E120" s="358" t="s">
        <v>946</v>
      </c>
      <c r="F120" s="358" t="s">
        <v>946</v>
      </c>
      <c r="H120" s="303"/>
      <c r="I120" s="304"/>
      <c r="J120" s="304"/>
      <c r="K120" s="304"/>
      <c r="L120" s="304"/>
      <c r="M120" s="378"/>
      <c r="N120" s="303"/>
      <c r="O120" s="376"/>
      <c r="P120" s="376"/>
      <c r="Q120" s="376"/>
      <c r="R120" s="304"/>
      <c r="S120" s="304"/>
      <c r="T120" s="304"/>
      <c r="U120" s="304"/>
      <c r="V120" s="376"/>
      <c r="W120" s="376"/>
      <c r="X120" s="376"/>
    </row>
    <row r="121" spans="2:105" x14ac:dyDescent="0.2">
      <c r="B121" s="441">
        <v>1</v>
      </c>
      <c r="C121" s="364">
        <v>1</v>
      </c>
      <c r="D121" s="364">
        <v>1</v>
      </c>
      <c r="E121" s="364">
        <v>1</v>
      </c>
      <c r="F121" s="364">
        <v>1</v>
      </c>
      <c r="H121" s="303"/>
      <c r="I121" s="304"/>
      <c r="J121" s="304"/>
      <c r="K121" s="304"/>
      <c r="L121" s="304"/>
      <c r="M121" s="303"/>
      <c r="N121" s="303"/>
      <c r="O121" s="376"/>
      <c r="P121" s="303"/>
      <c r="Q121" s="376"/>
      <c r="R121" s="304"/>
      <c r="S121" s="304"/>
      <c r="T121" s="304"/>
      <c r="U121" s="304"/>
      <c r="V121" s="303"/>
      <c r="W121" s="376"/>
      <c r="X121" s="376"/>
    </row>
    <row r="122" spans="2:105" x14ac:dyDescent="0.2">
      <c r="B122" s="441">
        <v>2</v>
      </c>
      <c r="C122" s="364">
        <v>1</v>
      </c>
      <c r="D122" s="364">
        <v>1</v>
      </c>
      <c r="E122" s="364">
        <v>1</v>
      </c>
      <c r="F122" s="364">
        <v>1</v>
      </c>
      <c r="H122" s="343"/>
      <c r="I122" s="304"/>
      <c r="J122" s="304"/>
      <c r="K122" s="304"/>
      <c r="L122" s="304"/>
      <c r="M122" s="303"/>
      <c r="N122" s="343"/>
      <c r="O122" s="376"/>
      <c r="P122" s="376"/>
      <c r="Q122" s="376"/>
      <c r="R122" s="304"/>
      <c r="S122" s="304"/>
      <c r="T122" s="304"/>
      <c r="U122" s="304"/>
      <c r="V122" s="376"/>
      <c r="W122" s="376"/>
      <c r="X122" s="376"/>
    </row>
    <row r="123" spans="2:105" x14ac:dyDescent="0.2">
      <c r="B123" s="441">
        <v>3</v>
      </c>
      <c r="C123" s="364">
        <v>1</v>
      </c>
      <c r="D123" s="364">
        <v>1</v>
      </c>
      <c r="E123" s="364">
        <v>1</v>
      </c>
      <c r="F123" s="364">
        <v>1</v>
      </c>
      <c r="H123" s="303"/>
      <c r="I123" s="377"/>
      <c r="J123" s="377"/>
      <c r="K123" s="377"/>
      <c r="L123" s="377"/>
      <c r="M123" s="303"/>
      <c r="N123" s="303"/>
      <c r="O123" s="377"/>
      <c r="P123" s="377"/>
      <c r="Q123" s="377"/>
      <c r="R123" s="304"/>
      <c r="S123" s="304"/>
      <c r="T123" s="304"/>
      <c r="U123" s="304"/>
      <c r="V123" s="377"/>
      <c r="W123" s="377"/>
      <c r="X123" s="377"/>
    </row>
    <row r="124" spans="2:105" x14ac:dyDescent="0.2">
      <c r="B124" s="441">
        <v>4</v>
      </c>
      <c r="C124" s="364">
        <v>1</v>
      </c>
      <c r="D124" s="364">
        <v>1</v>
      </c>
      <c r="E124" s="364">
        <v>1</v>
      </c>
      <c r="F124" s="364">
        <v>1</v>
      </c>
      <c r="H124" s="376"/>
      <c r="I124" s="373"/>
      <c r="J124" s="373"/>
      <c r="K124" s="373"/>
      <c r="L124" s="373"/>
      <c r="M124" s="373"/>
      <c r="N124" s="372"/>
      <c r="O124" s="373"/>
      <c r="P124" s="373"/>
      <c r="Q124" s="373"/>
      <c r="R124" s="304"/>
      <c r="S124" s="304"/>
      <c r="T124" s="304"/>
      <c r="U124" s="304"/>
      <c r="V124" s="373"/>
      <c r="W124" s="373"/>
      <c r="X124" s="373"/>
    </row>
    <row r="125" spans="2:105" x14ac:dyDescent="0.2">
      <c r="B125" s="441">
        <v>5</v>
      </c>
      <c r="C125" s="364">
        <v>1</v>
      </c>
      <c r="D125" s="364">
        <v>1</v>
      </c>
      <c r="E125" s="364">
        <v>1</v>
      </c>
      <c r="F125" s="364">
        <v>1</v>
      </c>
      <c r="H125" s="303"/>
      <c r="I125" s="373"/>
      <c r="J125" s="373"/>
      <c r="K125" s="373"/>
      <c r="L125" s="373"/>
      <c r="M125" s="360"/>
      <c r="N125" s="360"/>
      <c r="O125" s="373"/>
      <c r="P125" s="373"/>
      <c r="Q125" s="373"/>
      <c r="R125" s="304"/>
      <c r="S125" s="304"/>
      <c r="T125" s="304"/>
      <c r="U125" s="304"/>
      <c r="V125" s="373"/>
      <c r="W125" s="373"/>
      <c r="X125" s="373"/>
    </row>
    <row r="126" spans="2:105" x14ac:dyDescent="0.2">
      <c r="B126" s="441">
        <v>6</v>
      </c>
      <c r="C126" s="364">
        <v>1</v>
      </c>
      <c r="D126" s="364">
        <v>1</v>
      </c>
      <c r="E126" s="364">
        <v>1</v>
      </c>
      <c r="F126" s="364">
        <v>1</v>
      </c>
      <c r="H126" s="303"/>
      <c r="I126" s="373"/>
      <c r="J126" s="373"/>
      <c r="K126" s="373"/>
      <c r="L126" s="360"/>
      <c r="M126" s="360"/>
      <c r="N126" s="360"/>
      <c r="O126" s="373"/>
      <c r="P126" s="373"/>
      <c r="Q126" s="373"/>
      <c r="R126" s="304"/>
      <c r="S126" s="304"/>
      <c r="T126" s="304"/>
      <c r="U126" s="304"/>
      <c r="V126" s="373"/>
      <c r="W126" s="373"/>
      <c r="X126" s="360"/>
    </row>
    <row r="127" spans="2:105" x14ac:dyDescent="0.2">
      <c r="B127" s="441">
        <v>7</v>
      </c>
      <c r="C127" s="364">
        <v>1</v>
      </c>
      <c r="D127" s="364">
        <v>1</v>
      </c>
      <c r="E127" s="364">
        <v>1</v>
      </c>
      <c r="F127" s="364">
        <v>1</v>
      </c>
      <c r="H127" s="303"/>
      <c r="I127" s="373"/>
      <c r="J127" s="373"/>
      <c r="K127" s="373"/>
      <c r="L127" s="360"/>
      <c r="M127" s="360"/>
      <c r="N127" s="360"/>
      <c r="O127" s="373"/>
      <c r="P127" s="373"/>
      <c r="Q127" s="373"/>
      <c r="R127" s="304"/>
      <c r="S127" s="304"/>
      <c r="T127" s="304"/>
      <c r="U127" s="304"/>
      <c r="V127" s="373"/>
      <c r="W127" s="360"/>
      <c r="X127" s="360"/>
    </row>
    <row r="128" spans="2:105" x14ac:dyDescent="0.2">
      <c r="B128" s="441">
        <v>8</v>
      </c>
      <c r="C128" s="364">
        <v>1</v>
      </c>
      <c r="D128" s="364">
        <v>1</v>
      </c>
      <c r="E128" s="364">
        <v>1</v>
      </c>
      <c r="F128" s="364">
        <v>1</v>
      </c>
      <c r="H128" s="303"/>
      <c r="I128" s="373"/>
      <c r="J128" s="283"/>
      <c r="K128" s="66"/>
      <c r="L128" s="66"/>
      <c r="M128" s="66"/>
      <c r="N128" s="301"/>
      <c r="O128" s="66"/>
      <c r="P128" s="66"/>
      <c r="Q128" s="66"/>
      <c r="R128" s="304"/>
      <c r="S128" s="304"/>
      <c r="T128" s="304"/>
      <c r="U128" s="304"/>
      <c r="V128" s="373"/>
      <c r="W128" s="360"/>
      <c r="X128" s="360"/>
    </row>
    <row r="129" spans="2:24" ht="18" x14ac:dyDescent="0.2">
      <c r="B129" s="441">
        <v>9</v>
      </c>
      <c r="C129" s="364">
        <v>1</v>
      </c>
      <c r="D129" s="364">
        <v>1</v>
      </c>
      <c r="E129" s="379">
        <v>1</v>
      </c>
      <c r="F129" s="364">
        <v>1</v>
      </c>
      <c r="H129" s="303"/>
      <c r="I129" s="373"/>
      <c r="J129" s="299"/>
      <c r="K129" s="66"/>
      <c r="L129" s="66"/>
      <c r="M129" s="66"/>
      <c r="N129" s="66"/>
      <c r="O129" s="66"/>
      <c r="P129" s="66"/>
      <c r="Q129" s="66"/>
      <c r="R129" s="66"/>
      <c r="S129" s="66"/>
      <c r="T129" s="360"/>
      <c r="U129" s="373"/>
      <c r="V129" s="373"/>
      <c r="W129" s="360"/>
      <c r="X129" s="360"/>
    </row>
    <row r="130" spans="2:24" ht="18" x14ac:dyDescent="0.2">
      <c r="B130" s="441">
        <v>10</v>
      </c>
      <c r="C130" s="364">
        <v>1</v>
      </c>
      <c r="D130" s="364">
        <v>1</v>
      </c>
      <c r="E130" s="364">
        <v>1</v>
      </c>
      <c r="F130" s="364">
        <v>1</v>
      </c>
      <c r="H130" s="303"/>
      <c r="I130" s="373"/>
      <c r="J130" s="66"/>
      <c r="K130" s="304"/>
      <c r="L130" s="304"/>
      <c r="M130" s="304"/>
      <c r="N130" s="377"/>
      <c r="O130" s="373"/>
      <c r="P130" s="373"/>
      <c r="Q130" s="299"/>
      <c r="R130" s="299"/>
      <c r="S130" s="66"/>
      <c r="T130" s="360"/>
      <c r="U130" s="373"/>
      <c r="V130" s="373"/>
      <c r="W130" s="360"/>
      <c r="X130" s="360"/>
    </row>
    <row r="131" spans="2:24" ht="18" x14ac:dyDescent="0.2">
      <c r="B131" s="441">
        <v>11</v>
      </c>
      <c r="C131" s="364">
        <v>1</v>
      </c>
      <c r="D131" s="364">
        <v>1</v>
      </c>
      <c r="E131" s="364">
        <v>1</v>
      </c>
      <c r="F131" s="364">
        <v>1</v>
      </c>
      <c r="H131" s="303"/>
      <c r="I131" s="373"/>
      <c r="J131" s="66"/>
      <c r="K131" s="304"/>
      <c r="L131" s="304"/>
      <c r="M131" s="304"/>
      <c r="N131" s="377"/>
      <c r="O131" s="373"/>
      <c r="P131" s="373"/>
      <c r="Q131" s="299"/>
      <c r="R131" s="301"/>
      <c r="S131" s="66"/>
      <c r="T131" s="360"/>
      <c r="U131" s="373"/>
      <c r="V131" s="373"/>
      <c r="W131" s="360"/>
      <c r="X131" s="360"/>
    </row>
    <row r="132" spans="2:24" ht="18" x14ac:dyDescent="0.2">
      <c r="B132" s="441">
        <v>12</v>
      </c>
      <c r="C132" s="364">
        <v>1</v>
      </c>
      <c r="D132" s="364">
        <v>1</v>
      </c>
      <c r="E132" s="364">
        <v>1</v>
      </c>
      <c r="F132" s="364">
        <v>1</v>
      </c>
      <c r="H132" s="303"/>
      <c r="I132" s="373"/>
      <c r="J132" s="66"/>
      <c r="K132" s="304"/>
      <c r="L132" s="304"/>
      <c r="M132" s="304"/>
      <c r="N132" s="377"/>
      <c r="O132" s="373"/>
      <c r="P132" s="373"/>
      <c r="Q132" s="299"/>
      <c r="R132" s="301"/>
      <c r="S132" s="66"/>
      <c r="T132" s="360"/>
      <c r="U132" s="373"/>
      <c r="V132" s="373"/>
      <c r="W132" s="360"/>
      <c r="X132" s="360"/>
    </row>
    <row r="133" spans="2:24" ht="18" x14ac:dyDescent="0.2">
      <c r="B133" s="441">
        <v>13</v>
      </c>
      <c r="C133" s="364">
        <v>1</v>
      </c>
      <c r="D133" s="364">
        <v>1</v>
      </c>
      <c r="E133" s="364">
        <v>1</v>
      </c>
      <c r="F133" s="364">
        <v>1</v>
      </c>
      <c r="H133" s="303"/>
      <c r="I133" s="373"/>
      <c r="J133" s="66"/>
      <c r="K133" s="304"/>
      <c r="L133" s="304"/>
      <c r="M133" s="304"/>
      <c r="N133" s="377"/>
      <c r="O133" s="373"/>
      <c r="P133" s="373"/>
      <c r="Q133" s="299"/>
      <c r="R133" s="301"/>
      <c r="S133" s="402"/>
      <c r="T133" s="360"/>
      <c r="U133" s="373"/>
      <c r="V133" s="360"/>
      <c r="W133" s="360"/>
      <c r="X133" s="360"/>
    </row>
    <row r="134" spans="2:24" ht="18" x14ac:dyDescent="0.2">
      <c r="B134" s="441">
        <v>14</v>
      </c>
      <c r="C134" s="364">
        <v>1</v>
      </c>
      <c r="D134" s="364">
        <v>1</v>
      </c>
      <c r="E134" s="364">
        <v>1</v>
      </c>
      <c r="F134" s="364">
        <v>1</v>
      </c>
      <c r="H134" s="376"/>
      <c r="I134" s="303"/>
      <c r="J134" s="66"/>
      <c r="K134" s="66"/>
      <c r="L134" s="66"/>
      <c r="M134" s="66"/>
      <c r="N134" s="301"/>
      <c r="O134" s="299"/>
      <c r="P134" s="299"/>
      <c r="Q134" s="301"/>
      <c r="R134" s="301"/>
      <c r="S134" s="402"/>
      <c r="T134" s="376"/>
      <c r="U134" s="303"/>
      <c r="V134" s="303"/>
      <c r="W134" s="303"/>
      <c r="X134" s="303"/>
    </row>
    <row r="135" spans="2:24" x14ac:dyDescent="0.2">
      <c r="B135" s="441">
        <v>15</v>
      </c>
      <c r="C135" s="364">
        <v>1</v>
      </c>
      <c r="D135" s="364">
        <v>1</v>
      </c>
      <c r="E135" s="364">
        <v>1</v>
      </c>
      <c r="F135" s="364">
        <v>1</v>
      </c>
      <c r="H135" s="303"/>
      <c r="I135" s="376"/>
      <c r="J135" s="66"/>
      <c r="K135" s="66"/>
      <c r="L135" s="66"/>
      <c r="M135" s="66"/>
      <c r="N135" s="300"/>
      <c r="O135" s="58"/>
      <c r="P135" s="58"/>
      <c r="Q135" s="58"/>
      <c r="R135" s="58"/>
      <c r="S135" s="66"/>
      <c r="T135" s="303"/>
      <c r="U135" s="376"/>
      <c r="V135" s="376"/>
      <c r="W135" s="376"/>
      <c r="X135" s="376"/>
    </row>
    <row r="136" spans="2:24" x14ac:dyDescent="0.2">
      <c r="B136" s="441">
        <v>16</v>
      </c>
      <c r="C136" s="364">
        <v>1</v>
      </c>
      <c r="D136" s="364">
        <v>1</v>
      </c>
      <c r="E136" s="364">
        <v>1</v>
      </c>
      <c r="F136" s="364">
        <v>1</v>
      </c>
      <c r="I136" s="303"/>
      <c r="J136" s="66"/>
      <c r="K136" s="66"/>
      <c r="L136" s="66"/>
      <c r="M136" s="66"/>
      <c r="N136" s="58"/>
      <c r="O136" s="300"/>
      <c r="P136" s="300"/>
      <c r="Q136" s="300"/>
      <c r="R136" s="300"/>
      <c r="S136" s="66"/>
      <c r="T136" s="376"/>
      <c r="U136" s="303"/>
      <c r="V136" s="303"/>
      <c r="W136" s="303"/>
      <c r="X136" s="303"/>
    </row>
    <row r="137" spans="2:24" x14ac:dyDescent="0.2">
      <c r="B137" s="441">
        <v>17</v>
      </c>
      <c r="C137" s="364">
        <v>1</v>
      </c>
      <c r="D137" s="364">
        <v>1</v>
      </c>
      <c r="E137" s="364">
        <v>1</v>
      </c>
      <c r="F137" s="364">
        <v>1</v>
      </c>
      <c r="I137" s="303"/>
      <c r="J137" s="283"/>
      <c r="K137" s="66"/>
      <c r="L137" s="66"/>
      <c r="M137" s="66"/>
      <c r="N137" s="301"/>
      <c r="O137" s="66"/>
      <c r="P137" s="66"/>
      <c r="Q137" s="66"/>
      <c r="R137" s="66"/>
      <c r="S137" s="66"/>
      <c r="T137" s="303"/>
      <c r="U137" s="303"/>
      <c r="V137" s="303"/>
      <c r="W137" s="303"/>
      <c r="X137" s="303"/>
    </row>
    <row r="138" spans="2:24" ht="18" x14ac:dyDescent="0.2">
      <c r="B138" s="441">
        <v>18</v>
      </c>
      <c r="C138" s="364">
        <v>1</v>
      </c>
      <c r="D138" s="364">
        <v>1</v>
      </c>
      <c r="E138" s="379">
        <v>1</v>
      </c>
      <c r="F138" s="364">
        <v>1</v>
      </c>
      <c r="I138" s="303"/>
      <c r="J138" s="299"/>
      <c r="K138" s="66"/>
      <c r="L138" s="66"/>
      <c r="M138" s="58"/>
      <c r="N138" s="66"/>
      <c r="O138" s="66"/>
      <c r="P138" s="66"/>
      <c r="Q138" s="66"/>
      <c r="R138" s="66"/>
      <c r="S138" s="66"/>
      <c r="T138" s="303"/>
      <c r="U138" s="303"/>
      <c r="V138" s="303"/>
      <c r="W138" s="303"/>
      <c r="X138" s="303"/>
    </row>
    <row r="139" spans="2:24" x14ac:dyDescent="0.2">
      <c r="B139" s="441">
        <v>19</v>
      </c>
      <c r="C139" s="364">
        <v>1</v>
      </c>
      <c r="D139" s="364">
        <v>1</v>
      </c>
      <c r="E139" s="364">
        <v>1</v>
      </c>
      <c r="F139" s="364">
        <v>1</v>
      </c>
      <c r="I139" s="303"/>
      <c r="J139" s="66"/>
      <c r="K139" s="304"/>
      <c r="L139" s="304"/>
      <c r="M139" s="304"/>
      <c r="N139" s="304"/>
      <c r="O139" s="304"/>
      <c r="P139" s="304"/>
      <c r="Q139" s="304"/>
      <c r="R139" s="304"/>
      <c r="S139" s="304"/>
      <c r="T139" s="303"/>
      <c r="U139" s="303"/>
      <c r="V139" s="303"/>
      <c r="W139" s="303"/>
      <c r="X139" s="303"/>
    </row>
    <row r="140" spans="2:24" x14ac:dyDescent="0.2">
      <c r="B140" s="441">
        <v>20</v>
      </c>
      <c r="C140" s="364">
        <v>1</v>
      </c>
      <c r="D140" s="364">
        <v>1</v>
      </c>
      <c r="E140" s="364">
        <v>1</v>
      </c>
      <c r="F140" s="364">
        <v>1</v>
      </c>
      <c r="I140" s="303"/>
      <c r="J140" s="66"/>
      <c r="K140" s="304"/>
      <c r="L140" s="304"/>
      <c r="M140" s="304"/>
      <c r="N140" s="304"/>
      <c r="O140" s="304"/>
      <c r="P140" s="304"/>
      <c r="Q140" s="304"/>
      <c r="R140" s="304"/>
      <c r="S140" s="304"/>
      <c r="T140" s="303"/>
      <c r="U140" s="303"/>
      <c r="V140" s="303"/>
      <c r="W140" s="303"/>
      <c r="X140" s="303"/>
    </row>
    <row r="141" spans="2:24" x14ac:dyDescent="0.2">
      <c r="B141" s="441">
        <v>21</v>
      </c>
      <c r="C141" s="364">
        <v>1</v>
      </c>
      <c r="D141" s="364">
        <v>1</v>
      </c>
      <c r="E141" s="364">
        <v>1</v>
      </c>
      <c r="F141" s="364">
        <v>1</v>
      </c>
      <c r="I141" s="303"/>
      <c r="J141" s="66"/>
      <c r="K141" s="304"/>
      <c r="L141" s="304"/>
      <c r="M141" s="304"/>
      <c r="N141" s="304"/>
      <c r="O141" s="304"/>
      <c r="P141" s="304"/>
      <c r="Q141" s="304"/>
      <c r="R141" s="304"/>
      <c r="S141" s="304"/>
      <c r="T141" s="303"/>
      <c r="U141" s="303"/>
      <c r="V141" s="303"/>
      <c r="W141" s="303"/>
      <c r="X141" s="303"/>
    </row>
    <row r="142" spans="2:24" x14ac:dyDescent="0.2">
      <c r="B142" s="441">
        <v>22</v>
      </c>
      <c r="C142" s="364">
        <v>1</v>
      </c>
      <c r="D142" s="364">
        <v>1</v>
      </c>
      <c r="E142" s="364">
        <v>1</v>
      </c>
      <c r="F142" s="364">
        <v>1</v>
      </c>
      <c r="I142" s="303"/>
      <c r="J142" s="66"/>
      <c r="K142" s="304"/>
      <c r="L142" s="304"/>
      <c r="M142" s="304"/>
      <c r="N142" s="304"/>
      <c r="O142" s="304"/>
      <c r="P142" s="304"/>
      <c r="Q142" s="304"/>
      <c r="R142" s="304"/>
      <c r="S142" s="304"/>
      <c r="T142" s="303"/>
      <c r="U142" s="303"/>
      <c r="V142" s="303"/>
      <c r="W142" s="303"/>
      <c r="X142" s="303"/>
    </row>
    <row r="143" spans="2:24" x14ac:dyDescent="0.2">
      <c r="B143" s="441">
        <v>23</v>
      </c>
      <c r="C143" s="364">
        <v>1</v>
      </c>
      <c r="D143" s="364">
        <v>1</v>
      </c>
      <c r="E143" s="364">
        <v>1</v>
      </c>
      <c r="F143" s="364">
        <v>1</v>
      </c>
      <c r="I143" s="303"/>
      <c r="J143" s="303"/>
      <c r="K143" s="303"/>
      <c r="L143" s="303"/>
      <c r="M143" s="303"/>
      <c r="N143" s="303"/>
      <c r="O143" s="303"/>
      <c r="P143" s="303"/>
      <c r="Q143" s="303"/>
      <c r="R143" s="303"/>
      <c r="S143" s="303"/>
      <c r="T143" s="303"/>
      <c r="U143" s="303"/>
      <c r="V143" s="303"/>
      <c r="W143" s="303"/>
      <c r="X143" s="303"/>
    </row>
    <row r="144" spans="2:24" x14ac:dyDescent="0.2">
      <c r="B144" s="441">
        <v>24</v>
      </c>
      <c r="C144" s="364">
        <v>1</v>
      </c>
      <c r="D144" s="364">
        <v>1</v>
      </c>
      <c r="E144" s="364">
        <v>1</v>
      </c>
      <c r="F144" s="364">
        <v>1</v>
      </c>
      <c r="I144" s="303"/>
      <c r="J144" s="303"/>
      <c r="K144" s="303"/>
      <c r="L144" s="303"/>
      <c r="M144" s="303"/>
      <c r="N144" s="303"/>
      <c r="O144" s="303"/>
      <c r="P144" s="303"/>
      <c r="Q144" s="303"/>
      <c r="R144" s="303"/>
      <c r="S144" s="303"/>
      <c r="T144" s="303"/>
      <c r="U144" s="303"/>
      <c r="V144" s="303"/>
      <c r="W144" s="303"/>
      <c r="X144" s="303"/>
    </row>
    <row r="145" spans="2:24" x14ac:dyDescent="0.2">
      <c r="B145" s="441">
        <v>25</v>
      </c>
      <c r="C145" s="364">
        <v>1</v>
      </c>
      <c r="D145" s="364">
        <v>1</v>
      </c>
      <c r="E145" s="364">
        <v>1</v>
      </c>
      <c r="F145" s="364">
        <v>1</v>
      </c>
      <c r="I145" s="303"/>
      <c r="J145" s="303"/>
      <c r="K145" s="303"/>
      <c r="L145" s="303"/>
      <c r="M145" s="303"/>
      <c r="N145" s="303"/>
      <c r="O145" s="303"/>
      <c r="P145" s="303"/>
      <c r="Q145" s="303"/>
      <c r="R145" s="303"/>
      <c r="S145" s="303"/>
      <c r="T145" s="303"/>
      <c r="U145" s="303"/>
      <c r="V145" s="303"/>
      <c r="W145" s="303"/>
      <c r="X145" s="303"/>
    </row>
    <row r="146" spans="2:24" x14ac:dyDescent="0.2">
      <c r="B146" s="441">
        <v>26</v>
      </c>
      <c r="C146" s="364">
        <v>1</v>
      </c>
      <c r="D146" s="364">
        <v>1</v>
      </c>
      <c r="E146" s="364">
        <v>1</v>
      </c>
      <c r="F146" s="364">
        <v>1</v>
      </c>
      <c r="I146" s="303"/>
      <c r="J146" s="303"/>
      <c r="K146" s="303"/>
      <c r="L146" s="303"/>
      <c r="M146" s="303"/>
      <c r="N146" s="303"/>
      <c r="O146" s="303"/>
      <c r="P146" s="303"/>
      <c r="Q146" s="303"/>
      <c r="R146" s="303"/>
      <c r="S146" s="303"/>
      <c r="T146" s="303"/>
      <c r="U146" s="303"/>
      <c r="V146" s="303"/>
      <c r="W146" s="303"/>
      <c r="X146" s="303"/>
    </row>
    <row r="147" spans="2:24" x14ac:dyDescent="0.2">
      <c r="B147" s="441">
        <v>27</v>
      </c>
      <c r="C147" s="364">
        <v>1</v>
      </c>
      <c r="D147" s="364">
        <v>1</v>
      </c>
      <c r="E147" s="379">
        <v>1</v>
      </c>
      <c r="F147" s="364">
        <v>1</v>
      </c>
      <c r="I147" s="303"/>
      <c r="J147" s="303"/>
      <c r="K147" s="303"/>
      <c r="L147" s="303"/>
      <c r="M147" s="303"/>
      <c r="N147" s="303"/>
      <c r="O147" s="303"/>
      <c r="P147" s="303"/>
      <c r="Q147" s="303"/>
      <c r="R147" s="303"/>
      <c r="S147" s="303"/>
      <c r="T147" s="303"/>
      <c r="U147" s="303"/>
      <c r="V147" s="303"/>
      <c r="W147" s="303"/>
      <c r="X147" s="303"/>
    </row>
    <row r="148" spans="2:24" x14ac:dyDescent="0.2">
      <c r="B148" s="441">
        <v>28</v>
      </c>
      <c r="C148" s="364">
        <v>1</v>
      </c>
      <c r="D148" s="364">
        <v>1</v>
      </c>
      <c r="E148" s="344"/>
      <c r="F148" s="364">
        <v>1</v>
      </c>
      <c r="I148" s="303"/>
      <c r="J148" s="303"/>
      <c r="K148" s="303"/>
      <c r="L148" s="303"/>
      <c r="M148" s="303"/>
      <c r="N148" s="303"/>
      <c r="O148" s="303"/>
      <c r="P148" s="303"/>
      <c r="Q148" s="303"/>
      <c r="R148" s="303"/>
      <c r="S148" s="303"/>
      <c r="T148" s="303"/>
      <c r="U148" s="303"/>
      <c r="V148" s="303"/>
      <c r="W148" s="303"/>
      <c r="X148" s="303"/>
    </row>
    <row r="149" spans="2:24" x14ac:dyDescent="0.2">
      <c r="B149" s="441">
        <v>29</v>
      </c>
      <c r="C149" s="364">
        <v>1</v>
      </c>
      <c r="D149" s="364">
        <v>1</v>
      </c>
      <c r="E149" s="344"/>
      <c r="F149" s="364">
        <v>1</v>
      </c>
      <c r="I149" s="303"/>
      <c r="J149" s="303"/>
      <c r="K149" s="303"/>
      <c r="L149" s="303"/>
      <c r="M149" s="303"/>
      <c r="N149" s="303"/>
      <c r="O149" s="303"/>
      <c r="P149" s="303"/>
      <c r="Q149" s="303"/>
      <c r="R149" s="303"/>
      <c r="S149" s="303"/>
      <c r="T149" s="303"/>
      <c r="U149" s="303"/>
      <c r="V149" s="303"/>
      <c r="W149" s="303"/>
      <c r="X149" s="303"/>
    </row>
    <row r="150" spans="2:24" x14ac:dyDescent="0.2">
      <c r="B150" s="441">
        <v>30</v>
      </c>
      <c r="C150" s="364"/>
      <c r="D150" s="364">
        <v>1</v>
      </c>
      <c r="E150" s="374"/>
      <c r="F150" s="364"/>
      <c r="I150" s="303"/>
      <c r="J150" s="303"/>
      <c r="K150" s="303"/>
      <c r="L150" s="303"/>
      <c r="M150" s="303"/>
      <c r="N150" s="303"/>
      <c r="O150" s="303"/>
      <c r="P150" s="303"/>
      <c r="Q150" s="303"/>
      <c r="R150" s="303"/>
      <c r="S150" s="303"/>
      <c r="T150" s="303"/>
      <c r="U150" s="303"/>
      <c r="V150" s="303"/>
      <c r="W150" s="303"/>
      <c r="X150" s="303"/>
    </row>
    <row r="151" spans="2:24" x14ac:dyDescent="0.2">
      <c r="B151" s="398" t="s">
        <v>992</v>
      </c>
      <c r="C151" s="354">
        <f>COUNT(C121:C150)/30*100</f>
        <v>96.666666666666671</v>
      </c>
      <c r="D151" s="354">
        <f t="shared" ref="D151:E151" si="11">COUNT(D121:D150)/30*100</f>
        <v>100</v>
      </c>
      <c r="E151" s="354">
        <f t="shared" si="11"/>
        <v>90</v>
      </c>
      <c r="F151" s="354">
        <f>COUNT(F121:F150)/30*100</f>
        <v>96.666666666666671</v>
      </c>
      <c r="I151" s="303"/>
      <c r="J151" s="303"/>
      <c r="K151" s="303"/>
      <c r="L151" s="303"/>
      <c r="M151" s="303"/>
      <c r="N151" s="303"/>
      <c r="O151" s="303"/>
      <c r="P151" s="303"/>
      <c r="Q151" s="303"/>
      <c r="R151" s="303"/>
      <c r="S151" s="303"/>
      <c r="T151" s="303"/>
      <c r="U151" s="303"/>
      <c r="V151" s="303"/>
      <c r="W151" s="303"/>
      <c r="X151" s="303"/>
    </row>
    <row r="152" spans="2:24" x14ac:dyDescent="0.2">
      <c r="B152" s="399"/>
      <c r="C152" s="400"/>
      <c r="D152" s="400"/>
      <c r="E152" s="400"/>
      <c r="F152" s="400"/>
      <c r="I152" s="303"/>
      <c r="J152" s="303"/>
      <c r="K152" s="303"/>
      <c r="L152" s="303"/>
      <c r="M152" s="303"/>
      <c r="N152" s="303"/>
      <c r="O152" s="303"/>
      <c r="P152" s="303"/>
      <c r="Q152" s="303"/>
      <c r="R152" s="303"/>
      <c r="S152" s="303"/>
      <c r="T152" s="303"/>
      <c r="U152" s="303"/>
      <c r="V152" s="303"/>
      <c r="W152" s="303"/>
      <c r="X152" s="303"/>
    </row>
    <row r="153" spans="2:24" x14ac:dyDescent="0.2">
      <c r="I153" s="303"/>
      <c r="J153" s="303"/>
      <c r="K153" s="303"/>
      <c r="L153" s="303"/>
      <c r="M153" s="303"/>
      <c r="N153" s="303"/>
      <c r="O153" s="303"/>
      <c r="P153" s="303"/>
      <c r="Q153" s="303"/>
      <c r="R153" s="303"/>
      <c r="S153" s="303"/>
      <c r="T153" s="303"/>
      <c r="U153" s="303"/>
      <c r="V153" s="303"/>
      <c r="W153" s="303"/>
      <c r="X153" s="303"/>
    </row>
    <row r="154" spans="2:24" x14ac:dyDescent="0.2">
      <c r="C154" s="355" t="s">
        <v>955</v>
      </c>
      <c r="E154" s="356"/>
      <c r="F154" s="356"/>
      <c r="I154" s="303"/>
      <c r="J154" s="303"/>
      <c r="K154" s="303"/>
      <c r="L154" s="303"/>
      <c r="M154" s="303"/>
      <c r="N154" s="303"/>
      <c r="O154" s="303"/>
      <c r="P154" s="303"/>
      <c r="Q154" s="303"/>
      <c r="R154" s="303"/>
      <c r="S154" s="303"/>
      <c r="T154" s="303"/>
      <c r="U154" s="303"/>
      <c r="V154" s="303"/>
      <c r="W154" s="303"/>
      <c r="X154" s="303"/>
    </row>
    <row r="155" spans="2:24" x14ac:dyDescent="0.2">
      <c r="B155" s="445" t="s">
        <v>960</v>
      </c>
      <c r="C155" s="357" t="s">
        <v>298</v>
      </c>
      <c r="D155" s="357" t="s">
        <v>943</v>
      </c>
      <c r="E155" s="357" t="s">
        <v>944</v>
      </c>
      <c r="F155" s="357" t="s">
        <v>945</v>
      </c>
      <c r="I155" s="303"/>
      <c r="J155" s="303"/>
      <c r="K155" s="303"/>
      <c r="L155" s="303"/>
      <c r="M155" s="303"/>
      <c r="N155" s="303"/>
      <c r="O155" s="303"/>
      <c r="P155" s="303"/>
      <c r="Q155" s="303"/>
      <c r="R155" s="303"/>
      <c r="S155" s="303"/>
      <c r="T155" s="303"/>
      <c r="U155" s="303"/>
      <c r="V155" s="303"/>
      <c r="W155" s="303"/>
      <c r="X155" s="303"/>
    </row>
    <row r="156" spans="2:24" x14ac:dyDescent="0.2">
      <c r="B156" s="440" t="s">
        <v>957</v>
      </c>
      <c r="C156" s="358" t="s">
        <v>946</v>
      </c>
      <c r="D156" s="358" t="s">
        <v>946</v>
      </c>
      <c r="E156" s="358" t="s">
        <v>946</v>
      </c>
      <c r="F156" s="358" t="s">
        <v>946</v>
      </c>
      <c r="I156" s="303"/>
      <c r="J156" s="303"/>
      <c r="K156" s="303"/>
      <c r="L156" s="303"/>
      <c r="M156" s="303"/>
      <c r="N156" s="303"/>
      <c r="O156" s="303"/>
      <c r="P156" s="303"/>
      <c r="Q156" s="303"/>
      <c r="R156" s="303"/>
      <c r="S156" s="303"/>
      <c r="T156" s="303"/>
      <c r="U156" s="303"/>
      <c r="V156" s="303"/>
      <c r="W156" s="303"/>
      <c r="X156" s="303"/>
    </row>
    <row r="157" spans="2:24" x14ac:dyDescent="0.2">
      <c r="B157" s="441">
        <v>1</v>
      </c>
      <c r="C157" s="362">
        <v>1</v>
      </c>
      <c r="D157" s="362">
        <v>1</v>
      </c>
      <c r="E157" s="362">
        <v>1</v>
      </c>
      <c r="F157" s="362">
        <v>1</v>
      </c>
      <c r="I157" s="303"/>
      <c r="J157" s="303"/>
      <c r="K157" s="303"/>
      <c r="L157" s="303"/>
      <c r="M157" s="303"/>
      <c r="N157" s="303"/>
      <c r="O157" s="303"/>
      <c r="P157" s="303"/>
      <c r="Q157" s="303"/>
      <c r="R157" s="303"/>
      <c r="S157" s="303"/>
      <c r="T157" s="303"/>
      <c r="U157" s="303"/>
      <c r="V157" s="303"/>
      <c r="W157" s="303"/>
      <c r="X157" s="303"/>
    </row>
    <row r="158" spans="2:24" x14ac:dyDescent="0.2">
      <c r="B158" s="441">
        <v>2</v>
      </c>
      <c r="C158" s="362">
        <v>1</v>
      </c>
      <c r="D158" s="362">
        <v>1</v>
      </c>
      <c r="E158" s="362">
        <v>1</v>
      </c>
      <c r="F158" s="362">
        <v>1</v>
      </c>
      <c r="I158" s="303"/>
      <c r="J158" s="303"/>
      <c r="K158" s="303"/>
      <c r="L158" s="303"/>
      <c r="M158" s="303"/>
      <c r="N158" s="303"/>
      <c r="O158" s="303"/>
      <c r="P158" s="303"/>
      <c r="Q158" s="303"/>
      <c r="R158" s="303"/>
      <c r="S158" s="303"/>
      <c r="T158" s="303"/>
      <c r="U158" s="303"/>
      <c r="V158" s="303"/>
      <c r="W158" s="303"/>
      <c r="X158" s="303"/>
    </row>
    <row r="159" spans="2:24" x14ac:dyDescent="0.2">
      <c r="B159" s="441">
        <v>3</v>
      </c>
      <c r="C159" s="362">
        <v>1</v>
      </c>
      <c r="D159" s="362">
        <v>1</v>
      </c>
      <c r="E159" s="362">
        <v>1</v>
      </c>
      <c r="F159" s="362">
        <v>1</v>
      </c>
      <c r="I159" s="303"/>
      <c r="J159" s="303"/>
      <c r="K159" s="303"/>
      <c r="L159" s="303"/>
      <c r="M159" s="303"/>
      <c r="N159" s="303"/>
      <c r="O159" s="303"/>
      <c r="P159" s="303"/>
      <c r="Q159" s="303"/>
      <c r="R159" s="303"/>
      <c r="S159" s="303"/>
      <c r="T159" s="303"/>
      <c r="U159" s="303"/>
      <c r="V159" s="303"/>
      <c r="W159" s="303"/>
      <c r="X159" s="303"/>
    </row>
    <row r="160" spans="2:24" x14ac:dyDescent="0.2">
      <c r="B160" s="441">
        <v>4</v>
      </c>
      <c r="C160" s="362">
        <v>1</v>
      </c>
      <c r="D160" s="362">
        <v>1</v>
      </c>
      <c r="E160" s="362">
        <v>1</v>
      </c>
      <c r="F160" s="362">
        <v>1</v>
      </c>
      <c r="I160" s="303"/>
      <c r="J160" s="303"/>
      <c r="K160" s="303"/>
      <c r="L160" s="303"/>
      <c r="M160" s="303"/>
      <c r="N160" s="303"/>
      <c r="O160" s="303"/>
      <c r="P160" s="303"/>
      <c r="Q160" s="303"/>
      <c r="R160" s="303"/>
      <c r="S160" s="303"/>
      <c r="T160" s="303"/>
      <c r="U160" s="303"/>
      <c r="V160" s="303"/>
      <c r="W160" s="303"/>
      <c r="X160" s="303"/>
    </row>
    <row r="161" spans="2:24" x14ac:dyDescent="0.2">
      <c r="B161" s="441">
        <v>5</v>
      </c>
      <c r="C161" s="362">
        <v>1</v>
      </c>
      <c r="D161" s="362">
        <v>1</v>
      </c>
      <c r="E161" s="362">
        <v>1</v>
      </c>
      <c r="F161" s="362">
        <v>1</v>
      </c>
      <c r="I161" s="303"/>
      <c r="J161" s="303"/>
      <c r="K161" s="303"/>
      <c r="L161" s="303"/>
      <c r="M161" s="303"/>
      <c r="N161" s="303"/>
      <c r="O161" s="303"/>
      <c r="P161" s="303"/>
      <c r="Q161" s="303"/>
      <c r="R161" s="303"/>
      <c r="S161" s="303"/>
      <c r="T161" s="303"/>
      <c r="U161" s="303"/>
      <c r="V161" s="303"/>
      <c r="W161" s="303"/>
      <c r="X161" s="303"/>
    </row>
    <row r="162" spans="2:24" x14ac:dyDescent="0.2">
      <c r="B162" s="441">
        <v>6</v>
      </c>
      <c r="C162" s="362">
        <v>1</v>
      </c>
      <c r="D162" s="362">
        <v>1</v>
      </c>
      <c r="E162" s="362">
        <v>1</v>
      </c>
      <c r="F162" s="362">
        <v>1</v>
      </c>
      <c r="I162" s="303"/>
      <c r="J162" s="303"/>
      <c r="K162" s="303"/>
      <c r="L162" s="303"/>
      <c r="M162" s="303"/>
      <c r="N162" s="303"/>
      <c r="O162" s="303"/>
      <c r="P162" s="303"/>
      <c r="Q162" s="303"/>
      <c r="R162" s="303"/>
      <c r="S162" s="303"/>
      <c r="T162" s="303"/>
      <c r="U162" s="303"/>
      <c r="V162" s="303"/>
      <c r="W162" s="303"/>
      <c r="X162" s="303"/>
    </row>
    <row r="163" spans="2:24" x14ac:dyDescent="0.2">
      <c r="B163" s="441">
        <v>7</v>
      </c>
      <c r="C163" s="362">
        <v>1</v>
      </c>
      <c r="D163" s="362">
        <v>1</v>
      </c>
      <c r="E163" s="362">
        <v>1</v>
      </c>
      <c r="F163" s="362">
        <v>1</v>
      </c>
    </row>
    <row r="164" spans="2:24" x14ac:dyDescent="0.2">
      <c r="B164" s="441">
        <v>8</v>
      </c>
      <c r="C164" s="362">
        <v>1</v>
      </c>
      <c r="D164" s="362">
        <v>1</v>
      </c>
      <c r="E164" s="362">
        <v>1</v>
      </c>
      <c r="F164" s="362">
        <v>1</v>
      </c>
    </row>
    <row r="165" spans="2:24" x14ac:dyDescent="0.2">
      <c r="B165" s="441">
        <v>9</v>
      </c>
      <c r="C165" s="362">
        <v>1</v>
      </c>
      <c r="D165" s="362">
        <v>1</v>
      </c>
      <c r="E165" s="362">
        <v>1</v>
      </c>
      <c r="F165" s="362">
        <v>1</v>
      </c>
    </row>
    <row r="166" spans="2:24" x14ac:dyDescent="0.2">
      <c r="B166" s="441">
        <v>10</v>
      </c>
      <c r="C166" s="362">
        <v>1</v>
      </c>
      <c r="D166" s="362">
        <v>1</v>
      </c>
      <c r="E166" s="362">
        <v>1</v>
      </c>
      <c r="F166" s="362">
        <v>1</v>
      </c>
    </row>
    <row r="167" spans="2:24" x14ac:dyDescent="0.2">
      <c r="B167" s="441">
        <v>11</v>
      </c>
      <c r="C167" s="362">
        <v>1</v>
      </c>
      <c r="D167" s="362">
        <v>1</v>
      </c>
      <c r="E167" s="362">
        <v>1</v>
      </c>
      <c r="F167" s="362">
        <v>1</v>
      </c>
      <c r="H167" s="376"/>
    </row>
    <row r="168" spans="2:24" x14ac:dyDescent="0.2">
      <c r="B168" s="441">
        <v>12</v>
      </c>
      <c r="C168" s="362"/>
      <c r="D168" s="362">
        <v>1</v>
      </c>
      <c r="E168" s="362">
        <v>1</v>
      </c>
      <c r="F168" s="362"/>
      <c r="H168" s="303"/>
    </row>
    <row r="169" spans="2:24" x14ac:dyDescent="0.2">
      <c r="B169" s="398" t="s">
        <v>992</v>
      </c>
      <c r="C169" s="344">
        <f>COUNT(C157:C168)/12*100</f>
        <v>91.666666666666657</v>
      </c>
      <c r="D169" s="344">
        <f t="shared" ref="D169:F169" si="12">COUNT(D157:D168)/12*100</f>
        <v>100</v>
      </c>
      <c r="E169" s="344">
        <f t="shared" si="12"/>
        <v>100</v>
      </c>
      <c r="F169" s="344">
        <f t="shared" si="12"/>
        <v>91.666666666666657</v>
      </c>
      <c r="H169" s="303"/>
    </row>
    <row r="170" spans="2:24" x14ac:dyDescent="0.2">
      <c r="B170" s="399"/>
      <c r="C170" s="349"/>
      <c r="D170" s="349"/>
      <c r="E170" s="349"/>
      <c r="F170" s="349"/>
      <c r="H170" s="303"/>
    </row>
    <row r="171" spans="2:24" x14ac:dyDescent="0.2">
      <c r="H171" s="303"/>
    </row>
    <row r="172" spans="2:24" x14ac:dyDescent="0.2">
      <c r="C172" s="355" t="s">
        <v>955</v>
      </c>
      <c r="E172" s="356"/>
      <c r="F172" s="356"/>
      <c r="H172" s="303"/>
    </row>
    <row r="173" spans="2:24" x14ac:dyDescent="0.2">
      <c r="B173" s="445" t="s">
        <v>961</v>
      </c>
      <c r="C173" s="357" t="s">
        <v>298</v>
      </c>
      <c r="D173" s="357" t="s">
        <v>943</v>
      </c>
      <c r="E173" s="357" t="s">
        <v>944</v>
      </c>
      <c r="F173" s="357" t="s">
        <v>945</v>
      </c>
      <c r="H173" s="303"/>
    </row>
    <row r="174" spans="2:24" x14ac:dyDescent="0.2">
      <c r="B174" s="441">
        <v>1</v>
      </c>
      <c r="C174" s="358" t="s">
        <v>946</v>
      </c>
      <c r="D174" s="358" t="s">
        <v>946</v>
      </c>
      <c r="E174" s="358" t="s">
        <v>946</v>
      </c>
      <c r="F174" s="358" t="s">
        <v>946</v>
      </c>
      <c r="H174" s="303"/>
    </row>
    <row r="175" spans="2:24" x14ac:dyDescent="0.2">
      <c r="B175" s="441">
        <v>2</v>
      </c>
      <c r="C175" s="364">
        <v>1</v>
      </c>
      <c r="D175" s="364">
        <v>1</v>
      </c>
      <c r="E175" s="364">
        <v>1</v>
      </c>
      <c r="F175" s="364">
        <v>1</v>
      </c>
      <c r="H175" s="303"/>
    </row>
    <row r="176" spans="2:24" x14ac:dyDescent="0.2">
      <c r="B176" s="441">
        <v>3</v>
      </c>
      <c r="C176" s="364">
        <v>1</v>
      </c>
      <c r="D176" s="364">
        <v>1</v>
      </c>
      <c r="E176" s="364">
        <v>1</v>
      </c>
      <c r="F176" s="364">
        <v>1</v>
      </c>
      <c r="H176" s="303"/>
    </row>
    <row r="177" spans="1:21" x14ac:dyDescent="0.2">
      <c r="B177" s="441">
        <v>4</v>
      </c>
      <c r="C177" s="364">
        <v>1</v>
      </c>
      <c r="D177" s="364">
        <v>1</v>
      </c>
      <c r="E177" s="364">
        <v>1</v>
      </c>
      <c r="F177" s="364">
        <v>1</v>
      </c>
      <c r="H177" s="303"/>
      <c r="O177" s="355"/>
      <c r="S177" s="304"/>
    </row>
    <row r="178" spans="1:21" x14ac:dyDescent="0.2">
      <c r="B178" s="441">
        <v>5</v>
      </c>
      <c r="C178" s="364">
        <v>1</v>
      </c>
      <c r="D178" s="364">
        <v>1</v>
      </c>
      <c r="E178" s="364">
        <v>1</v>
      </c>
      <c r="F178" s="364">
        <v>1</v>
      </c>
      <c r="H178" s="303"/>
    </row>
    <row r="179" spans="1:21" x14ac:dyDescent="0.2">
      <c r="B179" s="441">
        <v>6</v>
      </c>
      <c r="C179" s="364">
        <v>1</v>
      </c>
      <c r="D179" s="364">
        <v>1</v>
      </c>
      <c r="E179" s="364">
        <v>1</v>
      </c>
      <c r="F179" s="364">
        <v>1</v>
      </c>
      <c r="H179" s="303"/>
    </row>
    <row r="180" spans="1:21" x14ac:dyDescent="0.2">
      <c r="B180" s="441">
        <v>7</v>
      </c>
      <c r="C180" s="364">
        <v>1</v>
      </c>
      <c r="D180" s="364">
        <v>1</v>
      </c>
      <c r="E180" s="364">
        <v>1</v>
      </c>
      <c r="F180" s="364">
        <v>1</v>
      </c>
      <c r="H180" s="303"/>
    </row>
    <row r="181" spans="1:21" x14ac:dyDescent="0.2">
      <c r="B181" s="441">
        <v>8</v>
      </c>
      <c r="C181" s="364">
        <v>1</v>
      </c>
      <c r="D181" s="364">
        <v>1</v>
      </c>
      <c r="E181" s="364">
        <v>1</v>
      </c>
      <c r="F181" s="364">
        <v>1</v>
      </c>
      <c r="H181" s="303"/>
    </row>
    <row r="182" spans="1:21" x14ac:dyDescent="0.2">
      <c r="B182" s="441">
        <v>9</v>
      </c>
      <c r="C182" s="364">
        <v>1</v>
      </c>
      <c r="D182" s="364">
        <v>1</v>
      </c>
      <c r="E182" s="364">
        <v>1</v>
      </c>
      <c r="F182" s="364">
        <v>1</v>
      </c>
      <c r="H182" s="303"/>
    </row>
    <row r="183" spans="1:21" x14ac:dyDescent="0.2">
      <c r="B183" s="441">
        <v>10</v>
      </c>
      <c r="C183" s="364">
        <v>1</v>
      </c>
      <c r="D183" s="364">
        <v>1</v>
      </c>
      <c r="E183" s="379">
        <v>1</v>
      </c>
      <c r="F183" s="381">
        <v>1</v>
      </c>
      <c r="H183" s="303"/>
    </row>
    <row r="184" spans="1:21" x14ac:dyDescent="0.2">
      <c r="B184" s="441">
        <v>11</v>
      </c>
      <c r="C184" s="364">
        <v>1</v>
      </c>
      <c r="D184" s="364">
        <v>1</v>
      </c>
      <c r="E184" s="374">
        <v>1</v>
      </c>
      <c r="F184" s="364">
        <v>1</v>
      </c>
      <c r="H184" s="303"/>
    </row>
    <row r="185" spans="1:21" x14ac:dyDescent="0.2">
      <c r="B185" s="441">
        <v>12</v>
      </c>
      <c r="C185" s="381">
        <v>1</v>
      </c>
      <c r="D185" s="381">
        <v>1</v>
      </c>
      <c r="E185" s="379">
        <v>1</v>
      </c>
      <c r="F185" s="381">
        <v>1</v>
      </c>
      <c r="H185" s="303"/>
    </row>
    <row r="186" spans="1:21" x14ac:dyDescent="0.2">
      <c r="B186" s="441">
        <v>13</v>
      </c>
      <c r="C186" s="364">
        <v>1</v>
      </c>
      <c r="D186" s="364">
        <v>1</v>
      </c>
      <c r="E186" s="374">
        <v>1</v>
      </c>
      <c r="F186" s="364">
        <v>1</v>
      </c>
      <c r="H186" s="303"/>
    </row>
    <row r="187" spans="1:21" x14ac:dyDescent="0.2">
      <c r="B187" s="441">
        <v>14</v>
      </c>
      <c r="C187" s="381">
        <v>1</v>
      </c>
      <c r="D187" s="381">
        <v>1</v>
      </c>
      <c r="E187" s="381">
        <v>1</v>
      </c>
      <c r="F187" s="381">
        <v>1</v>
      </c>
      <c r="H187" s="303"/>
    </row>
    <row r="188" spans="1:21" x14ac:dyDescent="0.2">
      <c r="B188" s="441">
        <v>15</v>
      </c>
      <c r="C188" s="364">
        <v>1</v>
      </c>
      <c r="D188" s="364">
        <v>1</v>
      </c>
      <c r="E188" s="364">
        <v>1</v>
      </c>
      <c r="F188" s="364"/>
      <c r="H188" s="303"/>
    </row>
    <row r="189" spans="1:21" x14ac:dyDescent="0.2">
      <c r="B189" s="441">
        <v>16</v>
      </c>
      <c r="C189" s="364">
        <v>1</v>
      </c>
      <c r="D189" s="364">
        <v>1</v>
      </c>
      <c r="E189" s="364"/>
      <c r="F189" s="364"/>
      <c r="H189" s="303"/>
    </row>
    <row r="190" spans="1:21" x14ac:dyDescent="0.2">
      <c r="A190" s="303"/>
      <c r="B190" s="398" t="s">
        <v>992</v>
      </c>
      <c r="C190" s="344">
        <f>COUNT(C175:C189)/15*100</f>
        <v>100</v>
      </c>
      <c r="D190" s="344">
        <f t="shared" ref="D190:F190" si="13">COUNT(D175:D189)/15*100</f>
        <v>100</v>
      </c>
      <c r="E190" s="344">
        <f t="shared" si="13"/>
        <v>93.333333333333329</v>
      </c>
      <c r="F190" s="344">
        <f t="shared" si="13"/>
        <v>86.666666666666671</v>
      </c>
      <c r="G190" s="303"/>
      <c r="H190" s="303"/>
    </row>
    <row r="191" spans="1:21" x14ac:dyDescent="0.2">
      <c r="A191" s="303"/>
      <c r="B191" s="303"/>
      <c r="C191" s="378"/>
      <c r="D191" s="378"/>
      <c r="E191" s="378"/>
      <c r="F191" s="378"/>
      <c r="G191" s="303"/>
      <c r="H191" s="303"/>
      <c r="U191" s="382"/>
    </row>
    <row r="192" spans="1:21" x14ac:dyDescent="0.2">
      <c r="A192" s="303"/>
      <c r="B192" s="303"/>
      <c r="C192" s="378"/>
      <c r="D192" s="378"/>
      <c r="E192" s="378"/>
      <c r="F192" s="378"/>
      <c r="G192" s="303"/>
    </row>
    <row r="193" spans="1:23" x14ac:dyDescent="0.2">
      <c r="A193" s="303"/>
      <c r="C193" s="383" t="s">
        <v>1</v>
      </c>
      <c r="D193" s="383" t="s">
        <v>1</v>
      </c>
      <c r="E193" s="383" t="s">
        <v>1</v>
      </c>
      <c r="F193" s="383" t="s">
        <v>1</v>
      </c>
      <c r="I193" s="383" t="s">
        <v>296</v>
      </c>
      <c r="J193" s="383" t="s">
        <v>296</v>
      </c>
      <c r="K193" s="383" t="s">
        <v>296</v>
      </c>
      <c r="L193" s="383" t="s">
        <v>296</v>
      </c>
    </row>
    <row r="194" spans="1:23" x14ac:dyDescent="0.2">
      <c r="A194" s="303"/>
      <c r="C194" s="384" t="s">
        <v>298</v>
      </c>
      <c r="D194" s="384" t="s">
        <v>299</v>
      </c>
      <c r="E194" s="384" t="s">
        <v>944</v>
      </c>
      <c r="F194" s="384" t="s">
        <v>945</v>
      </c>
      <c r="I194" s="384" t="s">
        <v>298</v>
      </c>
      <c r="J194" s="384" t="s">
        <v>299</v>
      </c>
      <c r="K194" s="384" t="s">
        <v>944</v>
      </c>
      <c r="L194" s="384" t="s">
        <v>945</v>
      </c>
    </row>
    <row r="195" spans="1:23" x14ac:dyDescent="0.2">
      <c r="A195" s="303"/>
      <c r="B195" s="344" t="s">
        <v>51</v>
      </c>
      <c r="C195" s="385">
        <f>AVERAGE(C190,C169,C151,C115,C94,C81)</f>
        <v>98.055555555555543</v>
      </c>
      <c r="D195" s="380">
        <f>AVERAGE(D190,D169,D151,D115,D94,D81)</f>
        <v>100</v>
      </c>
      <c r="E195" s="385">
        <f>AVERAGE(E190,E169,E151,E115,E94,E81)</f>
        <v>95.833333333333329</v>
      </c>
      <c r="F195" s="385">
        <f>AVERAGE(F190,F169,F151,F115,F94,F81)</f>
        <v>92.171717171717162</v>
      </c>
      <c r="H195" s="344" t="s">
        <v>51</v>
      </c>
      <c r="I195" s="352">
        <f>AVERAGE(I66,O66,U66,U97,O95,I94,I110,O112,U112)</f>
        <v>100</v>
      </c>
      <c r="J195" s="352">
        <f>AVERAGE(J66,P66,V66,V97,P95,J94,J110,P112,V112)</f>
        <v>71.904761904761898</v>
      </c>
      <c r="K195" s="352">
        <f>AVERAGE(K66,Q66,W66,W97,Q95,K94,K110,Q112,W112)</f>
        <v>48.253968253968253</v>
      </c>
      <c r="L195" s="352">
        <f>AVERAGE(L66,R66,X66,X97,R95,L94,L110,R112,X112)</f>
        <v>22.75132275132275</v>
      </c>
      <c r="T195" s="382"/>
      <c r="U195" s="303"/>
      <c r="V195" s="303"/>
      <c r="W195" s="303"/>
    </row>
    <row r="196" spans="1:23" x14ac:dyDescent="0.2">
      <c r="A196" s="303"/>
      <c r="B196" s="344" t="s">
        <v>13</v>
      </c>
      <c r="C196" s="305">
        <f>STDEV(C190,C169,C151,C115,C94,C81)</f>
        <v>3.4020690871988615</v>
      </c>
      <c r="D196" s="305">
        <f>STDEV(D190,D169,D151,D115,D94,D81)</f>
        <v>0</v>
      </c>
      <c r="E196" s="305">
        <f>STDEV(E190,E169,E151,E115,E94,E81)</f>
        <v>4.6844897741850673</v>
      </c>
      <c r="F196" s="305">
        <f>STDEV(F190,F169,F151,F115,F94,F81)</f>
        <v>5.4043708008128295</v>
      </c>
      <c r="H196" s="344" t="s">
        <v>13</v>
      </c>
      <c r="I196" s="386">
        <f>STDEV(I66,O66,U66,U97,O95,I94,I110,O112,U112)</f>
        <v>0</v>
      </c>
      <c r="J196" s="386">
        <f>STDEV(J66,P66,V66,V97,P95,J94,J110,P112,V112)</f>
        <v>33.76086370884709</v>
      </c>
      <c r="K196" s="386">
        <f>STDEV(K66,Q66,W66,W97,Q95,K94,K110,Q112,W112)</f>
        <v>42.939075122033096</v>
      </c>
      <c r="L196" s="386">
        <f>STDEV(L66,R66,X66,X97,R95,L94,L110,R112,X112)</f>
        <v>35.21699640052983</v>
      </c>
      <c r="O196" s="303"/>
      <c r="P196" s="303"/>
      <c r="Q196" s="303"/>
      <c r="R196" s="303"/>
      <c r="S196" s="303"/>
      <c r="T196" s="303"/>
      <c r="U196" s="303"/>
      <c r="V196" s="303"/>
      <c r="W196" s="303"/>
    </row>
    <row r="197" spans="1:23" x14ac:dyDescent="0.2">
      <c r="B197" s="344" t="s">
        <v>975</v>
      </c>
      <c r="C197" s="344">
        <f>COUNT(C175:C189,C157:C168,C121:C150,C103:C114,C87:C93,C59:C80)</f>
        <v>96</v>
      </c>
      <c r="D197" s="344">
        <f>COUNT(D175:D189,D157:D168,D121:D150,D103:D114,D87:D93,D59:D80)</f>
        <v>98</v>
      </c>
      <c r="E197" s="344">
        <f>COUNT(E175:E189,E157:E168,E121:E150,E103:E114,E87:E93,E59:E80)</f>
        <v>93</v>
      </c>
      <c r="F197" s="344">
        <f>COUNT(F175:F189,F157:F168,F121:F150,F103:F114,F87:F93,F59:F80)</f>
        <v>90</v>
      </c>
      <c r="H197" s="344" t="s">
        <v>941</v>
      </c>
      <c r="I197" s="344">
        <f>COUNT(I87:I93,I103:I109,I59:I65,O59:O65,U59:U65,U87:U96,O87:O94,O103:O111,U103:U111)</f>
        <v>71</v>
      </c>
      <c r="J197" s="344">
        <f>COUNT(J87:J93,J103:J109,J59:J65,P59:P65,V59:V65,V87:V96,P87:P94,P103:P111,V103:V111)</f>
        <v>53</v>
      </c>
      <c r="K197" s="344">
        <f>COUNT(K87:K93,K103:K109,K59:K65,Q59:Q65,W59:W65,W87:W96,Q87:Q94,Q103:Q111,W103:W111)</f>
        <v>36</v>
      </c>
      <c r="L197" s="344">
        <f>COUNT(L87:L93,L103:L109,L59:L65,R59:R65,X59:X65,X87:X96,R87:R94,R103:R111,X103:X111)</f>
        <v>17</v>
      </c>
      <c r="O197" s="303"/>
      <c r="P197" s="303"/>
      <c r="Q197" s="303"/>
      <c r="R197" s="387"/>
      <c r="S197" s="387"/>
      <c r="T197" s="387"/>
      <c r="U197" s="387"/>
      <c r="V197" s="303"/>
      <c r="W197" s="303"/>
    </row>
    <row r="198" spans="1:23" x14ac:dyDescent="0.2">
      <c r="B198" s="344" t="s">
        <v>694</v>
      </c>
      <c r="C198" s="306">
        <v>6</v>
      </c>
      <c r="D198" s="306">
        <v>6</v>
      </c>
      <c r="E198" s="306">
        <v>6</v>
      </c>
      <c r="F198" s="306">
        <v>6</v>
      </c>
      <c r="H198" s="344" t="s">
        <v>694</v>
      </c>
      <c r="I198" s="344">
        <v>9</v>
      </c>
      <c r="J198" s="344">
        <v>9</v>
      </c>
      <c r="K198" s="344">
        <v>9</v>
      </c>
      <c r="L198" s="344">
        <v>9</v>
      </c>
      <c r="O198" s="388"/>
      <c r="P198" s="303"/>
      <c r="Q198" s="303"/>
      <c r="R198" s="303"/>
      <c r="S198" s="303"/>
      <c r="T198" s="303"/>
      <c r="U198" s="303"/>
      <c r="V198" s="303"/>
      <c r="W198" s="303"/>
    </row>
    <row r="199" spans="1:23" x14ac:dyDescent="0.2">
      <c r="B199" s="344" t="s">
        <v>14</v>
      </c>
      <c r="C199" s="307">
        <f>C196/SQRT(6)</f>
        <v>1.3888888888888902</v>
      </c>
      <c r="D199" s="307">
        <f t="shared" ref="D199:F199" si="14">D196/SQRT(6)</f>
        <v>0</v>
      </c>
      <c r="E199" s="307">
        <f t="shared" si="14"/>
        <v>1.9124349420065017</v>
      </c>
      <c r="F199" s="307">
        <f t="shared" si="14"/>
        <v>2.206325140464656</v>
      </c>
      <c r="H199" s="344" t="s">
        <v>14</v>
      </c>
      <c r="I199" s="307">
        <f>I196/SQRT(9)</f>
        <v>0</v>
      </c>
      <c r="J199" s="307">
        <f t="shared" ref="J199:L199" si="15">J196/SQRT(9)</f>
        <v>11.253621236282363</v>
      </c>
      <c r="K199" s="307">
        <f t="shared" si="15"/>
        <v>14.313025040677699</v>
      </c>
      <c r="L199" s="307">
        <f t="shared" si="15"/>
        <v>11.73899880017661</v>
      </c>
      <c r="N199" s="303"/>
      <c r="O199" s="303"/>
      <c r="P199" s="303"/>
      <c r="Q199" s="303"/>
      <c r="R199" s="350"/>
      <c r="S199" s="382"/>
      <c r="T199" s="303"/>
      <c r="U199" s="391"/>
      <c r="V199" s="303"/>
      <c r="W199" s="303"/>
    </row>
    <row r="200" spans="1:23" x14ac:dyDescent="0.2">
      <c r="N200" s="303"/>
      <c r="O200" s="303"/>
      <c r="P200" s="303"/>
      <c r="Q200" s="303"/>
      <c r="R200" s="303"/>
      <c r="S200" s="303"/>
      <c r="T200" s="303"/>
      <c r="U200" s="390"/>
      <c r="V200" s="303"/>
      <c r="W200" s="303"/>
    </row>
    <row r="201" spans="1:23" x14ac:dyDescent="0.2">
      <c r="C201" s="392"/>
      <c r="D201" s="220"/>
      <c r="E201" s="392"/>
      <c r="F201" s="392"/>
      <c r="G201" s="349"/>
      <c r="H201" s="303"/>
      <c r="I201" s="393"/>
      <c r="J201" s="393"/>
      <c r="K201" s="393"/>
      <c r="L201" s="394"/>
      <c r="N201" s="303"/>
      <c r="O201" s="303"/>
      <c r="P201" s="303"/>
      <c r="Q201" s="387"/>
      <c r="R201" s="387"/>
      <c r="S201" s="387"/>
      <c r="T201" s="387"/>
      <c r="U201" s="390"/>
      <c r="V201" s="303"/>
      <c r="W201" s="303"/>
    </row>
    <row r="202" spans="1:23" x14ac:dyDescent="0.2">
      <c r="B202" s="8" t="s">
        <v>52</v>
      </c>
      <c r="C202" s="336"/>
      <c r="D202" s="336"/>
      <c r="E202" s="64"/>
      <c r="F202" s="64"/>
      <c r="G202" s="349"/>
      <c r="H202" s="349"/>
      <c r="I202" s="349"/>
      <c r="J202" s="349"/>
      <c r="K202" s="349"/>
      <c r="N202" s="388"/>
      <c r="O202" s="303"/>
      <c r="P202" s="303"/>
      <c r="Q202" s="303"/>
      <c r="R202" s="303"/>
      <c r="S202" s="303"/>
      <c r="T202" s="401"/>
      <c r="U202" s="303"/>
      <c r="V202" s="303"/>
      <c r="W202" s="303"/>
    </row>
    <row r="203" spans="1:23" x14ac:dyDescent="0.2">
      <c r="B203" s="9"/>
      <c r="C203" s="9"/>
      <c r="D203" s="9"/>
      <c r="E203" s="9"/>
      <c r="F203" s="9"/>
      <c r="G203" s="349"/>
      <c r="H203" s="349"/>
      <c r="I203" s="349"/>
      <c r="J203" s="349"/>
      <c r="K203" s="349"/>
      <c r="N203" s="388"/>
      <c r="O203" s="303"/>
      <c r="P203" s="303"/>
      <c r="Q203" s="389"/>
      <c r="R203" s="390"/>
      <c r="S203" s="391"/>
      <c r="T203" s="391"/>
      <c r="U203" s="303"/>
    </row>
    <row r="204" spans="1:23" x14ac:dyDescent="0.2">
      <c r="B204" s="52" t="s">
        <v>56</v>
      </c>
      <c r="C204" s="9"/>
      <c r="D204" s="9"/>
      <c r="E204" s="9"/>
      <c r="F204" s="9"/>
      <c r="N204" s="303"/>
      <c r="O204" s="303"/>
      <c r="P204" s="303"/>
      <c r="Q204" s="303"/>
      <c r="R204" s="389"/>
      <c r="S204" s="390"/>
      <c r="T204" s="390"/>
      <c r="U204" s="303"/>
    </row>
    <row r="205" spans="1:23" x14ac:dyDescent="0.2">
      <c r="N205" s="388"/>
      <c r="O205" s="303"/>
      <c r="P205" s="303"/>
      <c r="Q205" s="389"/>
      <c r="R205" s="390"/>
      <c r="S205" s="390"/>
      <c r="T205" s="390"/>
      <c r="U205" s="303"/>
    </row>
    <row r="206" spans="1:23" x14ac:dyDescent="0.2">
      <c r="B206" s="3" t="s">
        <v>69</v>
      </c>
      <c r="C206" s="16" t="s">
        <v>70</v>
      </c>
      <c r="D206" s="16" t="s">
        <v>36</v>
      </c>
      <c r="E206" s="16" t="s">
        <v>37</v>
      </c>
      <c r="F206" s="16" t="s">
        <v>47</v>
      </c>
      <c r="G206" s="1"/>
    </row>
    <row r="207" spans="1:23" x14ac:dyDescent="0.2">
      <c r="B207" s="2" t="s">
        <v>667</v>
      </c>
      <c r="C207" s="1">
        <v>12.07</v>
      </c>
      <c r="D207" s="1">
        <v>3.8E-3</v>
      </c>
      <c r="E207" s="1" t="s">
        <v>11</v>
      </c>
      <c r="F207" s="1" t="s">
        <v>41</v>
      </c>
      <c r="G207" s="1"/>
    </row>
    <row r="208" spans="1:23" x14ac:dyDescent="0.2">
      <c r="B208" s="2" t="s">
        <v>668</v>
      </c>
      <c r="C208" s="1">
        <v>16.829999999999998</v>
      </c>
      <c r="D208" s="1">
        <v>5.0000000000000001E-4</v>
      </c>
      <c r="E208" s="1" t="s">
        <v>10</v>
      </c>
      <c r="F208" s="1" t="s">
        <v>41</v>
      </c>
      <c r="G208" s="1"/>
    </row>
    <row r="209" spans="2:7" x14ac:dyDescent="0.2">
      <c r="B209" s="2" t="s">
        <v>42</v>
      </c>
      <c r="C209" s="1">
        <v>22.48</v>
      </c>
      <c r="D209" s="46" t="s">
        <v>176</v>
      </c>
      <c r="E209" s="1" t="s">
        <v>10</v>
      </c>
      <c r="F209" s="1" t="s">
        <v>41</v>
      </c>
      <c r="G209" s="1"/>
    </row>
    <row r="210" spans="2:7" x14ac:dyDescent="0.2">
      <c r="B210" s="2"/>
      <c r="C210" s="1"/>
      <c r="D210" s="1"/>
      <c r="E210" s="1"/>
      <c r="F210" s="1"/>
      <c r="G210" s="1"/>
    </row>
    <row r="211" spans="2:7" x14ac:dyDescent="0.2">
      <c r="B211" s="2" t="s">
        <v>669</v>
      </c>
      <c r="C211" s="1" t="s">
        <v>670</v>
      </c>
      <c r="D211" s="1" t="s">
        <v>671</v>
      </c>
      <c r="E211" s="1" t="s">
        <v>672</v>
      </c>
      <c r="F211" s="1" t="s">
        <v>577</v>
      </c>
      <c r="G211" s="1" t="s">
        <v>36</v>
      </c>
    </row>
    <row r="212" spans="2:7" x14ac:dyDescent="0.2">
      <c r="B212" s="2" t="s">
        <v>667</v>
      </c>
      <c r="C212" s="1">
        <v>9918</v>
      </c>
      <c r="D212" s="1">
        <v>3</v>
      </c>
      <c r="E212" s="1">
        <v>3306</v>
      </c>
      <c r="F212" s="1" t="s">
        <v>981</v>
      </c>
      <c r="G212" s="1" t="s">
        <v>982</v>
      </c>
    </row>
    <row r="213" spans="2:7" x14ac:dyDescent="0.2">
      <c r="B213" s="2" t="s">
        <v>668</v>
      </c>
      <c r="C213" s="1">
        <v>13829</v>
      </c>
      <c r="D213" s="1">
        <v>3</v>
      </c>
      <c r="E213" s="1">
        <v>4610</v>
      </c>
      <c r="F213" s="1" t="s">
        <v>983</v>
      </c>
      <c r="G213" s="1" t="s">
        <v>984</v>
      </c>
    </row>
    <row r="214" spans="2:7" x14ac:dyDescent="0.2">
      <c r="B214" s="2" t="s">
        <v>42</v>
      </c>
      <c r="C214" s="1">
        <v>18472</v>
      </c>
      <c r="D214" s="1">
        <v>1</v>
      </c>
      <c r="E214" s="1">
        <v>18472</v>
      </c>
      <c r="F214" s="1" t="s">
        <v>985</v>
      </c>
      <c r="G214" s="1" t="s">
        <v>673</v>
      </c>
    </row>
    <row r="215" spans="2:7" x14ac:dyDescent="0.2">
      <c r="B215" s="2" t="s">
        <v>674</v>
      </c>
      <c r="C215" s="1">
        <v>34098</v>
      </c>
      <c r="D215" s="1">
        <v>52</v>
      </c>
      <c r="E215" s="1">
        <v>655.7</v>
      </c>
      <c r="F215" s="1"/>
      <c r="G215" s="1"/>
    </row>
    <row r="216" spans="2:7" x14ac:dyDescent="0.2">
      <c r="B216" s="2"/>
      <c r="C216" s="1"/>
      <c r="D216" s="1"/>
      <c r="E216" s="1"/>
      <c r="F216" s="1"/>
      <c r="G216" s="1"/>
    </row>
    <row r="218" spans="2:7" x14ac:dyDescent="0.2">
      <c r="B218" s="442" t="s">
        <v>968</v>
      </c>
      <c r="C218" s="443" t="s">
        <v>675</v>
      </c>
      <c r="D218" s="443" t="s">
        <v>46</v>
      </c>
      <c r="E218" s="443" t="s">
        <v>47</v>
      </c>
      <c r="F218" s="443" t="s">
        <v>48</v>
      </c>
      <c r="G218" s="443" t="s">
        <v>5</v>
      </c>
    </row>
    <row r="219" spans="2:7" x14ac:dyDescent="0.2">
      <c r="B219" s="2" t="s">
        <v>974</v>
      </c>
      <c r="C219" s="86"/>
      <c r="D219" s="86"/>
      <c r="E219" s="86"/>
      <c r="F219" s="86"/>
      <c r="G219" s="86"/>
    </row>
    <row r="220" spans="2:7" x14ac:dyDescent="0.2">
      <c r="B220" s="2" t="s">
        <v>298</v>
      </c>
      <c r="C220" s="86">
        <v>-1.889</v>
      </c>
      <c r="D220" s="86" t="s">
        <v>986</v>
      </c>
      <c r="E220" s="86" t="s">
        <v>49</v>
      </c>
      <c r="F220" s="86" t="s">
        <v>9</v>
      </c>
      <c r="G220" s="86">
        <v>0.99980000000000002</v>
      </c>
    </row>
    <row r="221" spans="2:7" x14ac:dyDescent="0.2">
      <c r="B221" s="2" t="s">
        <v>973</v>
      </c>
      <c r="C221" s="86">
        <v>28.1</v>
      </c>
      <c r="D221" s="86" t="s">
        <v>987</v>
      </c>
      <c r="E221" s="86" t="s">
        <v>49</v>
      </c>
      <c r="F221" s="86" t="s">
        <v>9</v>
      </c>
      <c r="G221" s="86">
        <v>0.1588</v>
      </c>
    </row>
    <row r="222" spans="2:7" x14ac:dyDescent="0.2">
      <c r="B222" s="2" t="s">
        <v>944</v>
      </c>
      <c r="C222" s="86">
        <v>47.52</v>
      </c>
      <c r="D222" s="86" t="s">
        <v>988</v>
      </c>
      <c r="E222" s="86" t="s">
        <v>41</v>
      </c>
      <c r="F222" s="86" t="s">
        <v>11</v>
      </c>
      <c r="G222" s="86">
        <v>3.5999999999999999E-3</v>
      </c>
    </row>
    <row r="223" spans="2:7" x14ac:dyDescent="0.2">
      <c r="B223" s="2" t="s">
        <v>945</v>
      </c>
      <c r="C223" s="86">
        <v>69.53</v>
      </c>
      <c r="D223" s="86" t="s">
        <v>989</v>
      </c>
      <c r="E223" s="86" t="s">
        <v>41</v>
      </c>
      <c r="F223" s="86" t="s">
        <v>10</v>
      </c>
      <c r="G223" s="113" t="s">
        <v>176</v>
      </c>
    </row>
  </sheetData>
  <mergeCells count="5">
    <mergeCell ref="C10:E10"/>
    <mergeCell ref="G10:I10"/>
    <mergeCell ref="C17:E17"/>
    <mergeCell ref="G17:I17"/>
    <mergeCell ref="K17:M17"/>
  </mergeCells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2:AD313"/>
  <sheetViews>
    <sheetView zoomScale="82" zoomScaleNormal="82" zoomScalePageLayoutView="82" workbookViewId="0">
      <selection activeCell="A5" sqref="A5"/>
    </sheetView>
  </sheetViews>
  <sheetFormatPr baseColWidth="10" defaultColWidth="11" defaultRowHeight="16" x14ac:dyDescent="0.2"/>
  <cols>
    <col min="1" max="5" width="11" style="27"/>
    <col min="6" max="6" width="11" style="101"/>
    <col min="7" max="11" width="11" style="27"/>
    <col min="12" max="12" width="11" style="101"/>
    <col min="13" max="17" width="11" style="27"/>
    <col min="18" max="18" width="11" style="101"/>
    <col min="19" max="23" width="11" style="27"/>
    <col min="24" max="24" width="11" style="101"/>
    <col min="25" max="16384" width="11" style="27"/>
  </cols>
  <sheetData>
    <row r="2" spans="1:30" ht="18" x14ac:dyDescent="0.2">
      <c r="A2" s="53" t="s">
        <v>991</v>
      </c>
      <c r="B2" s="14"/>
    </row>
    <row r="4" spans="1:30" ht="18" x14ac:dyDescent="0.2">
      <c r="A4" s="14" t="s">
        <v>1065</v>
      </c>
      <c r="B4" s="14"/>
      <c r="C4" s="14"/>
      <c r="D4" s="14"/>
      <c r="E4" s="280"/>
    </row>
    <row r="6" spans="1:30" x14ac:dyDescent="0.2">
      <c r="B6" s="52" t="s">
        <v>1003</v>
      </c>
      <c r="C6" s="9"/>
      <c r="D6" s="9"/>
      <c r="E6" s="9"/>
      <c r="F6" s="64"/>
      <c r="G6" s="9"/>
      <c r="H6" s="9"/>
      <c r="I6" s="9"/>
      <c r="J6" s="9"/>
      <c r="K6" s="9"/>
      <c r="L6" s="64"/>
      <c r="M6" s="9"/>
      <c r="N6" s="9"/>
      <c r="O6" s="9"/>
      <c r="P6" s="9"/>
      <c r="Q6" s="9"/>
      <c r="R6" s="64"/>
      <c r="S6" s="9"/>
      <c r="T6" s="9"/>
      <c r="U6" s="9"/>
      <c r="V6" s="9"/>
      <c r="W6" s="9"/>
      <c r="X6" s="64"/>
      <c r="Y6" s="9"/>
      <c r="Z6" s="9"/>
      <c r="AA6" s="9"/>
      <c r="AB6" s="9"/>
      <c r="AC6" s="9"/>
      <c r="AD6" s="9"/>
    </row>
    <row r="7" spans="1:30" x14ac:dyDescent="0.2">
      <c r="B7" s="9"/>
      <c r="C7" s="52"/>
      <c r="D7" s="9"/>
      <c r="E7" s="137"/>
      <c r="F7" s="21"/>
      <c r="G7" s="9"/>
      <c r="H7" s="9"/>
      <c r="I7" s="52"/>
      <c r="J7" s="9"/>
      <c r="K7" s="137"/>
      <c r="L7" s="21"/>
      <c r="M7" s="9"/>
      <c r="N7" s="9"/>
      <c r="O7" s="52"/>
      <c r="P7" s="9"/>
      <c r="Q7" s="137"/>
      <c r="R7" s="21"/>
      <c r="S7" s="9"/>
      <c r="T7" s="9"/>
      <c r="U7" s="52"/>
      <c r="V7" s="9"/>
      <c r="W7" s="137"/>
      <c r="X7" s="21"/>
      <c r="Y7" s="9"/>
      <c r="Z7" s="9"/>
      <c r="AA7" s="9"/>
      <c r="AB7" s="9"/>
      <c r="AC7" s="9"/>
      <c r="AD7" s="9"/>
    </row>
    <row r="8" spans="1:30" x14ac:dyDescent="0.2">
      <c r="B8" s="60" t="s">
        <v>980</v>
      </c>
      <c r="C8" s="316" t="s">
        <v>298</v>
      </c>
      <c r="D8" s="316" t="s">
        <v>943</v>
      </c>
      <c r="E8" s="316" t="s">
        <v>944</v>
      </c>
      <c r="F8" s="21"/>
      <c r="G8" s="9"/>
      <c r="H8" s="175" t="s">
        <v>194</v>
      </c>
      <c r="I8" s="316" t="s">
        <v>298</v>
      </c>
      <c r="J8" s="316" t="s">
        <v>943</v>
      </c>
      <c r="K8" s="316" t="s">
        <v>944</v>
      </c>
      <c r="L8" s="21"/>
      <c r="M8" s="9"/>
      <c r="N8" s="175" t="s">
        <v>197</v>
      </c>
      <c r="O8" s="316" t="s">
        <v>298</v>
      </c>
      <c r="P8" s="316" t="s">
        <v>943</v>
      </c>
      <c r="Q8" s="316" t="s">
        <v>944</v>
      </c>
      <c r="R8" s="21"/>
      <c r="S8" s="9"/>
      <c r="T8" s="175" t="s">
        <v>200</v>
      </c>
      <c r="U8" s="316" t="s">
        <v>298</v>
      </c>
      <c r="V8" s="316" t="s">
        <v>943</v>
      </c>
      <c r="W8" s="316" t="s">
        <v>944</v>
      </c>
      <c r="X8" s="21"/>
      <c r="Y8" s="9"/>
      <c r="Z8" s="9"/>
      <c r="AA8" s="9"/>
      <c r="AB8" s="9"/>
      <c r="AC8" s="9"/>
      <c r="AD8" s="9"/>
    </row>
    <row r="9" spans="1:30" x14ac:dyDescent="0.2">
      <c r="B9" s="444" t="s">
        <v>957</v>
      </c>
      <c r="C9" s="318" t="s">
        <v>990</v>
      </c>
      <c r="D9" s="318" t="s">
        <v>990</v>
      </c>
      <c r="E9" s="318" t="s">
        <v>990</v>
      </c>
      <c r="F9" s="325"/>
      <c r="G9" s="9"/>
      <c r="H9" s="444" t="s">
        <v>957</v>
      </c>
      <c r="I9" s="318" t="s">
        <v>990</v>
      </c>
      <c r="J9" s="318" t="s">
        <v>990</v>
      </c>
      <c r="K9" s="318" t="s">
        <v>990</v>
      </c>
      <c r="L9" s="325"/>
      <c r="M9" s="9"/>
      <c r="N9" s="444" t="s">
        <v>957</v>
      </c>
      <c r="O9" s="318" t="s">
        <v>990</v>
      </c>
      <c r="P9" s="318" t="s">
        <v>990</v>
      </c>
      <c r="Q9" s="318" t="s">
        <v>990</v>
      </c>
      <c r="R9" s="325"/>
      <c r="S9" s="9"/>
      <c r="T9" s="444" t="s">
        <v>957</v>
      </c>
      <c r="U9" s="318" t="s">
        <v>990</v>
      </c>
      <c r="V9" s="318" t="s">
        <v>990</v>
      </c>
      <c r="W9" s="318" t="s">
        <v>990</v>
      </c>
      <c r="X9" s="325"/>
      <c r="Y9" s="9"/>
      <c r="Z9" s="9"/>
      <c r="AA9" s="9"/>
      <c r="AB9" s="9"/>
      <c r="AC9" s="9"/>
      <c r="AD9" s="9"/>
    </row>
    <row r="10" spans="1:30" x14ac:dyDescent="0.2">
      <c r="B10" s="11">
        <v>1</v>
      </c>
      <c r="C10" s="13">
        <v>0.45859872611464958</v>
      </c>
      <c r="D10" s="13">
        <v>0.4</v>
      </c>
      <c r="E10" s="13">
        <v>0.17478152309612982</v>
      </c>
      <c r="F10" s="321"/>
      <c r="G10" s="9"/>
      <c r="H10" s="11">
        <v>1</v>
      </c>
      <c r="I10" s="13">
        <v>0.57999999999999996</v>
      </c>
      <c r="J10" s="13">
        <v>0.43</v>
      </c>
      <c r="K10" s="13">
        <v>0.08</v>
      </c>
      <c r="L10" s="321"/>
      <c r="M10" s="9"/>
      <c r="N10" s="11">
        <v>1</v>
      </c>
      <c r="O10" s="13">
        <v>0.42</v>
      </c>
      <c r="P10" s="13">
        <v>0.3307086614173228</v>
      </c>
      <c r="Q10" s="13">
        <v>0.04</v>
      </c>
      <c r="R10" s="321"/>
      <c r="S10" s="9"/>
      <c r="T10" s="11">
        <v>1</v>
      </c>
      <c r="U10" s="13">
        <v>0.37260273972602737</v>
      </c>
      <c r="V10" s="13">
        <v>0.3583617747440272</v>
      </c>
      <c r="W10" s="319"/>
      <c r="X10" s="321"/>
      <c r="Y10" s="9"/>
      <c r="Z10" s="9"/>
      <c r="AA10" s="9"/>
      <c r="AB10" s="9"/>
      <c r="AC10" s="9"/>
      <c r="AD10" s="9"/>
    </row>
    <row r="11" spans="1:30" x14ac:dyDescent="0.2">
      <c r="B11" s="11">
        <v>2</v>
      </c>
      <c r="C11" s="13">
        <v>0.43312101910828038</v>
      </c>
      <c r="D11" s="13">
        <v>0.45000000000000007</v>
      </c>
      <c r="E11" s="13">
        <v>0.22471910112359561</v>
      </c>
      <c r="F11" s="321"/>
      <c r="G11" s="9"/>
      <c r="H11" s="11">
        <v>2</v>
      </c>
      <c r="I11" s="13">
        <v>0.51162790697674421</v>
      </c>
      <c r="J11" s="13">
        <v>0.49</v>
      </c>
      <c r="K11" s="13">
        <v>0.06</v>
      </c>
      <c r="L11" s="321"/>
      <c r="M11" s="9"/>
      <c r="N11" s="11">
        <v>2</v>
      </c>
      <c r="O11" s="13">
        <v>0.49</v>
      </c>
      <c r="P11" s="13">
        <v>0.45</v>
      </c>
      <c r="Q11" s="13">
        <v>7.0000000000000007E-2</v>
      </c>
      <c r="R11" s="321"/>
      <c r="S11" s="9"/>
      <c r="T11" s="11">
        <v>2</v>
      </c>
      <c r="U11" s="13">
        <v>0.28493150684931506</v>
      </c>
      <c r="V11" s="13">
        <v>0.14334470989761094</v>
      </c>
      <c r="W11" s="319"/>
      <c r="X11" s="321"/>
      <c r="Y11" s="9"/>
      <c r="Z11" s="9"/>
      <c r="AA11" s="9"/>
      <c r="AB11" s="9"/>
      <c r="AC11" s="9"/>
      <c r="AD11" s="9"/>
    </row>
    <row r="12" spans="1:30" x14ac:dyDescent="0.2">
      <c r="B12" s="11">
        <v>3</v>
      </c>
      <c r="C12" s="13">
        <v>0.40764331210191096</v>
      </c>
      <c r="D12" s="13">
        <v>0.43000000000000005</v>
      </c>
      <c r="E12" s="13">
        <v>0.19975031210986272</v>
      </c>
      <c r="F12" s="321"/>
      <c r="G12" s="9"/>
      <c r="H12" s="11">
        <v>3</v>
      </c>
      <c r="I12" s="13">
        <v>0.41860465116279066</v>
      </c>
      <c r="J12" s="13">
        <v>0.33</v>
      </c>
      <c r="K12" s="13">
        <v>0.12</v>
      </c>
      <c r="L12" s="176"/>
      <c r="M12" s="9"/>
      <c r="N12" s="11">
        <v>3</v>
      </c>
      <c r="O12" s="13">
        <v>0.4137931034482758</v>
      </c>
      <c r="P12" s="13">
        <v>0.41</v>
      </c>
      <c r="Q12" s="13">
        <v>0.05</v>
      </c>
      <c r="R12" s="321"/>
      <c r="S12" s="9"/>
      <c r="T12" s="11">
        <v>3</v>
      </c>
      <c r="U12" s="13">
        <v>0.17534246575342483</v>
      </c>
      <c r="V12" s="13">
        <v>0.14334470989761094</v>
      </c>
      <c r="W12" s="319"/>
      <c r="X12" s="321"/>
      <c r="Y12" s="9"/>
      <c r="Z12" s="9"/>
      <c r="AA12" s="9"/>
      <c r="AB12" s="9"/>
      <c r="AC12" s="9"/>
      <c r="AD12" s="9"/>
    </row>
    <row r="13" spans="1:30" x14ac:dyDescent="0.2">
      <c r="B13" s="11">
        <v>4</v>
      </c>
      <c r="C13" s="13">
        <v>0.40764331210191096</v>
      </c>
      <c r="D13" s="13">
        <v>0.49</v>
      </c>
      <c r="E13" s="13">
        <v>0.26217228464419473</v>
      </c>
      <c r="F13" s="321"/>
      <c r="G13" s="64"/>
      <c r="H13" s="11">
        <v>4</v>
      </c>
      <c r="I13" s="13">
        <v>0.46511627906976749</v>
      </c>
      <c r="J13" s="13">
        <v>0.42</v>
      </c>
      <c r="K13" s="13">
        <v>0.09</v>
      </c>
      <c r="L13" s="176"/>
      <c r="M13" s="9"/>
      <c r="N13" s="11">
        <v>4</v>
      </c>
      <c r="O13" s="13">
        <v>0.29310344827586199</v>
      </c>
      <c r="P13" s="13">
        <v>0.22047244094488191</v>
      </c>
      <c r="Q13" s="13">
        <v>0.06</v>
      </c>
      <c r="R13" s="321"/>
      <c r="S13" s="9"/>
      <c r="T13" s="11">
        <v>4</v>
      </c>
      <c r="U13" s="13">
        <v>0.30684931506849306</v>
      </c>
      <c r="V13" s="13">
        <v>0.14334470989761094</v>
      </c>
      <c r="W13" s="319"/>
      <c r="X13" s="321"/>
      <c r="Y13" s="9"/>
      <c r="Z13" s="9"/>
      <c r="AA13" s="9"/>
      <c r="AB13" s="9"/>
      <c r="AC13" s="9"/>
      <c r="AD13" s="9"/>
    </row>
    <row r="14" spans="1:30" x14ac:dyDescent="0.2">
      <c r="B14" s="11">
        <v>5</v>
      </c>
      <c r="C14" s="13">
        <v>0.3312101910828027</v>
      </c>
      <c r="D14" s="13">
        <v>0.45999999999999996</v>
      </c>
      <c r="E14" s="13">
        <v>0.23720349563046184</v>
      </c>
      <c r="F14" s="321"/>
      <c r="G14" s="64"/>
      <c r="H14" s="11">
        <v>5</v>
      </c>
      <c r="I14" s="13">
        <v>0.44</v>
      </c>
      <c r="J14" s="13">
        <v>0.44</v>
      </c>
      <c r="K14" s="13">
        <v>0.08</v>
      </c>
      <c r="L14" s="176"/>
      <c r="M14" s="9"/>
      <c r="N14" s="11">
        <v>5</v>
      </c>
      <c r="O14" s="13">
        <v>0.22413793103448276</v>
      </c>
      <c r="P14" s="13">
        <v>0.30314960629921256</v>
      </c>
      <c r="Q14" s="13">
        <v>0.04</v>
      </c>
      <c r="R14" s="321"/>
      <c r="S14" s="9"/>
      <c r="T14" s="11">
        <v>5</v>
      </c>
      <c r="U14" s="13">
        <v>0.21917808219178081</v>
      </c>
      <c r="V14" s="13">
        <v>0.26279863481228677</v>
      </c>
      <c r="W14" s="319"/>
      <c r="X14" s="321"/>
      <c r="Y14" s="9"/>
      <c r="Z14" s="9"/>
      <c r="AA14" s="9"/>
      <c r="AB14" s="9"/>
      <c r="AC14" s="9"/>
      <c r="AD14" s="9"/>
    </row>
    <row r="15" spans="1:30" x14ac:dyDescent="0.2">
      <c r="B15" s="11">
        <v>6</v>
      </c>
      <c r="C15" s="13">
        <v>0.30573248407643328</v>
      </c>
      <c r="D15" s="13">
        <v>0.43999999999999995</v>
      </c>
      <c r="E15" s="13">
        <v>0.23720349563046184</v>
      </c>
      <c r="F15" s="321"/>
      <c r="G15" s="64"/>
      <c r="H15" s="11">
        <v>6</v>
      </c>
      <c r="I15" s="13">
        <v>0.57999999999999996</v>
      </c>
      <c r="J15" s="13">
        <v>0.51</v>
      </c>
      <c r="K15" s="13">
        <v>0.12</v>
      </c>
      <c r="L15" s="176"/>
      <c r="M15" s="9"/>
      <c r="N15" s="11">
        <v>6</v>
      </c>
      <c r="O15" s="13">
        <v>0.53</v>
      </c>
      <c r="P15" s="13">
        <v>0.52</v>
      </c>
      <c r="Q15" s="13">
        <v>0.06</v>
      </c>
      <c r="R15" s="321"/>
      <c r="S15" s="9"/>
      <c r="T15" s="11">
        <v>6</v>
      </c>
      <c r="U15" s="13">
        <v>0.30684931506849306</v>
      </c>
      <c r="V15" s="13">
        <v>0.23890784982935159</v>
      </c>
      <c r="W15" s="319"/>
      <c r="X15" s="321"/>
      <c r="Y15" s="9"/>
      <c r="Z15" s="9"/>
      <c r="AA15" s="9"/>
      <c r="AB15" s="9"/>
      <c r="AC15" s="9"/>
      <c r="AD15" s="9"/>
    </row>
    <row r="16" spans="1:30" x14ac:dyDescent="0.2">
      <c r="B16" s="11">
        <v>7</v>
      </c>
      <c r="C16" s="13">
        <v>0.36942675159235672</v>
      </c>
      <c r="D16" s="13">
        <v>0.43000000000000005</v>
      </c>
      <c r="E16" s="13">
        <v>0.21223470661672905</v>
      </c>
      <c r="F16" s="321"/>
      <c r="G16" s="64"/>
      <c r="H16" s="11">
        <v>7</v>
      </c>
      <c r="I16" s="13">
        <v>0.52</v>
      </c>
      <c r="J16" s="13">
        <v>0.48</v>
      </c>
      <c r="K16" s="13">
        <v>0.09</v>
      </c>
      <c r="L16" s="176"/>
      <c r="M16" s="9"/>
      <c r="N16" s="11">
        <v>7</v>
      </c>
      <c r="O16" s="13">
        <v>0.32999999999999996</v>
      </c>
      <c r="P16" s="13">
        <v>0.63385826771653553</v>
      </c>
      <c r="Q16" s="17">
        <v>0.08</v>
      </c>
      <c r="R16" s="321"/>
      <c r="S16" s="9"/>
      <c r="T16" s="11">
        <v>7</v>
      </c>
      <c r="U16" s="13">
        <v>0.19726027397260282</v>
      </c>
      <c r="V16" s="13">
        <v>0.33447098976109219</v>
      </c>
      <c r="W16" s="319"/>
      <c r="X16" s="321"/>
      <c r="Y16" s="9"/>
      <c r="Z16" s="9"/>
      <c r="AA16" s="9"/>
      <c r="AB16" s="9"/>
      <c r="AC16" s="9"/>
      <c r="AD16" s="9"/>
    </row>
    <row r="17" spans="2:30" x14ac:dyDescent="0.2">
      <c r="B17" s="11">
        <v>8</v>
      </c>
      <c r="C17" s="17">
        <v>0.56000000000000005</v>
      </c>
      <c r="D17" s="17">
        <v>0.46</v>
      </c>
      <c r="E17" s="17">
        <v>0.21</v>
      </c>
      <c r="F17" s="64"/>
      <c r="G17" s="64"/>
      <c r="H17" s="11">
        <v>8</v>
      </c>
      <c r="I17" s="13">
        <v>0.57999999999999996</v>
      </c>
      <c r="J17" s="13">
        <v>0.49</v>
      </c>
      <c r="K17" s="13">
        <v>7.0000000000000007E-2</v>
      </c>
      <c r="L17" s="176"/>
      <c r="M17" s="9"/>
      <c r="N17" s="69" t="s">
        <v>51</v>
      </c>
      <c r="O17" s="13">
        <f>AVERAGE(O10:O16)</f>
        <v>0.38586206896551722</v>
      </c>
      <c r="P17" s="13">
        <f t="shared" ref="P17:Q17" si="0">AVERAGE(P10:P16)</f>
        <v>0.40974128233970758</v>
      </c>
      <c r="Q17" s="13">
        <f t="shared" si="0"/>
        <v>5.7142857142857148E-2</v>
      </c>
      <c r="R17" s="64"/>
      <c r="S17" s="9"/>
      <c r="T17" s="69" t="s">
        <v>51</v>
      </c>
      <c r="U17" s="13">
        <f>AVERAGE(U10:U16)</f>
        <v>0.26614481409001955</v>
      </c>
      <c r="V17" s="13">
        <f>AVERAGE(V10:V16)</f>
        <v>0.23208191126279867</v>
      </c>
      <c r="W17" s="17"/>
      <c r="X17" s="64"/>
      <c r="Y17" s="9"/>
      <c r="Z17" s="9"/>
      <c r="AA17" s="9"/>
      <c r="AB17" s="9"/>
      <c r="AC17" s="9"/>
      <c r="AD17" s="9"/>
    </row>
    <row r="18" spans="2:30" x14ac:dyDescent="0.2">
      <c r="B18" s="11">
        <v>9</v>
      </c>
      <c r="C18" s="17">
        <v>0.53</v>
      </c>
      <c r="D18" s="17">
        <v>0.53</v>
      </c>
      <c r="E18" s="17">
        <v>0.43</v>
      </c>
      <c r="F18" s="64"/>
      <c r="G18" s="64"/>
      <c r="H18" s="11">
        <v>9</v>
      </c>
      <c r="I18" s="13">
        <v>0.56000000000000005</v>
      </c>
      <c r="J18" s="13">
        <v>0.51</v>
      </c>
      <c r="K18" s="13">
        <v>0.12</v>
      </c>
      <c r="L18" s="176"/>
      <c r="M18" s="9"/>
      <c r="N18" s="9"/>
      <c r="O18" s="9"/>
      <c r="P18" s="9"/>
      <c r="Q18" s="9"/>
      <c r="R18" s="64"/>
      <c r="S18" s="9"/>
      <c r="T18" s="9"/>
      <c r="U18" s="9"/>
      <c r="V18" s="9"/>
      <c r="W18" s="9"/>
      <c r="X18" s="64"/>
      <c r="Y18" s="9"/>
      <c r="Z18" s="9"/>
      <c r="AA18" s="9"/>
      <c r="AB18" s="9"/>
      <c r="AC18" s="9"/>
      <c r="AD18" s="9"/>
    </row>
    <row r="19" spans="2:30" x14ac:dyDescent="0.2">
      <c r="B19" s="69" t="s">
        <v>51</v>
      </c>
      <c r="C19" s="13">
        <f>AVERAGE(C10:C18)</f>
        <v>0.42259731068648271</v>
      </c>
      <c r="D19" s="13">
        <f t="shared" ref="D19" si="1">AVERAGE(D10:D18)</f>
        <v>0.45444444444444454</v>
      </c>
      <c r="E19" s="13">
        <f>AVERAGE(E10:E18)</f>
        <v>0.24311832431682617</v>
      </c>
      <c r="F19" s="64"/>
      <c r="G19" s="64"/>
      <c r="H19" s="11">
        <v>10</v>
      </c>
      <c r="I19" s="13">
        <v>0.62</v>
      </c>
      <c r="J19" s="13">
        <v>0.5</v>
      </c>
      <c r="K19" s="83"/>
      <c r="L19" s="176"/>
      <c r="M19" s="9"/>
      <c r="N19" s="9"/>
      <c r="O19" s="9"/>
      <c r="P19" s="9"/>
      <c r="Q19" s="9"/>
      <c r="R19" s="64"/>
      <c r="S19" s="9"/>
      <c r="T19" s="9"/>
      <c r="U19" s="9"/>
      <c r="V19" s="9"/>
      <c r="W19" s="9"/>
      <c r="X19" s="64"/>
      <c r="Y19" s="9"/>
      <c r="Z19" s="9"/>
      <c r="AA19" s="9"/>
      <c r="AB19" s="9"/>
      <c r="AC19" s="9"/>
      <c r="AD19" s="9"/>
    </row>
    <row r="20" spans="2:30" x14ac:dyDescent="0.2">
      <c r="B20" s="9"/>
      <c r="C20" s="9"/>
      <c r="D20" s="9"/>
      <c r="E20" s="9"/>
      <c r="F20" s="64"/>
      <c r="G20" s="9"/>
      <c r="H20" s="11">
        <v>11</v>
      </c>
      <c r="I20" s="13">
        <v>0.55000000000000004</v>
      </c>
      <c r="J20" s="17">
        <v>0.48</v>
      </c>
      <c r="K20" s="17"/>
      <c r="L20" s="64"/>
      <c r="M20" s="9"/>
      <c r="N20" s="9"/>
      <c r="O20" s="9"/>
      <c r="P20" s="9"/>
      <c r="Q20" s="9"/>
      <c r="R20" s="64"/>
      <c r="S20" s="9"/>
      <c r="T20" s="9"/>
      <c r="U20" s="9"/>
      <c r="V20" s="9"/>
      <c r="W20" s="9"/>
      <c r="X20" s="64"/>
      <c r="Y20" s="9"/>
      <c r="Z20" s="9"/>
      <c r="AA20" s="9"/>
      <c r="AB20" s="9"/>
      <c r="AC20" s="9"/>
      <c r="AD20" s="9"/>
    </row>
    <row r="21" spans="2:30" x14ac:dyDescent="0.2">
      <c r="B21" s="9"/>
      <c r="C21" s="9"/>
      <c r="D21" s="9"/>
      <c r="E21" s="9"/>
      <c r="F21" s="64"/>
      <c r="G21" s="9"/>
      <c r="H21" s="11">
        <v>12</v>
      </c>
      <c r="I21" s="319"/>
      <c r="J21" s="17">
        <v>0.73</v>
      </c>
      <c r="K21" s="103"/>
      <c r="L21" s="21"/>
      <c r="M21" s="9"/>
      <c r="N21" s="9"/>
      <c r="O21" s="9"/>
      <c r="P21" s="9"/>
      <c r="Q21" s="9"/>
      <c r="R21" s="64"/>
      <c r="S21" s="9"/>
      <c r="T21" s="9"/>
      <c r="U21" s="9"/>
      <c r="V21" s="9"/>
      <c r="W21" s="9"/>
      <c r="X21" s="64"/>
      <c r="Y21" s="9"/>
      <c r="Z21" s="9"/>
      <c r="AA21" s="9"/>
      <c r="AB21" s="9"/>
      <c r="AC21" s="9"/>
      <c r="AD21" s="9"/>
    </row>
    <row r="22" spans="2:30" x14ac:dyDescent="0.2">
      <c r="B22" s="9"/>
      <c r="C22" s="9"/>
      <c r="D22" s="9"/>
      <c r="E22" s="9"/>
      <c r="F22" s="64"/>
      <c r="G22" s="9"/>
      <c r="H22" s="11">
        <v>13</v>
      </c>
      <c r="I22" s="319"/>
      <c r="J22" s="17">
        <v>0.62</v>
      </c>
      <c r="K22" s="17"/>
      <c r="L22" s="64"/>
      <c r="M22" s="9"/>
      <c r="N22" s="9"/>
      <c r="O22" s="9"/>
      <c r="P22" s="9"/>
      <c r="Q22" s="9"/>
      <c r="R22" s="64"/>
      <c r="S22" s="9"/>
      <c r="T22" s="9"/>
      <c r="U22" s="9"/>
      <c r="V22" s="9"/>
      <c r="W22" s="9"/>
      <c r="X22" s="64"/>
      <c r="Y22" s="9"/>
      <c r="Z22" s="9"/>
      <c r="AA22" s="9"/>
      <c r="AB22" s="9"/>
      <c r="AC22" s="9"/>
      <c r="AD22" s="9"/>
    </row>
    <row r="23" spans="2:30" x14ac:dyDescent="0.2">
      <c r="B23" s="9"/>
      <c r="C23" s="9"/>
      <c r="D23" s="9"/>
      <c r="E23" s="9"/>
      <c r="F23" s="64"/>
      <c r="G23" s="9"/>
      <c r="H23" s="11">
        <v>14</v>
      </c>
      <c r="I23" s="322"/>
      <c r="J23" s="17">
        <v>0.67</v>
      </c>
      <c r="K23" s="326"/>
      <c r="L23" s="321"/>
      <c r="M23" s="9"/>
      <c r="N23" s="9"/>
      <c r="O23" s="9"/>
      <c r="P23" s="9"/>
      <c r="Q23" s="9"/>
      <c r="R23" s="64"/>
      <c r="S23" s="9"/>
      <c r="T23" s="9"/>
      <c r="U23" s="9"/>
      <c r="V23" s="9"/>
      <c r="W23" s="9"/>
      <c r="X23" s="64"/>
      <c r="Y23" s="9"/>
      <c r="Z23" s="9"/>
      <c r="AA23" s="9"/>
      <c r="AB23" s="9"/>
      <c r="AC23" s="9"/>
      <c r="AD23" s="9"/>
    </row>
    <row r="24" spans="2:30" x14ac:dyDescent="0.2">
      <c r="B24" s="9"/>
      <c r="C24" s="9"/>
      <c r="D24" s="9"/>
      <c r="E24" s="9"/>
      <c r="F24" s="64"/>
      <c r="G24" s="9"/>
      <c r="H24" s="69" t="s">
        <v>51</v>
      </c>
      <c r="I24" s="13">
        <f>AVERAGE(I10:I23)</f>
        <v>0.52957716701902757</v>
      </c>
      <c r="J24" s="13">
        <f t="shared" ref="J24:K24" si="2">AVERAGE(J10:J23)</f>
        <v>0.50714285714285723</v>
      </c>
      <c r="K24" s="13">
        <f t="shared" si="2"/>
        <v>9.2222222222222219E-2</v>
      </c>
      <c r="L24" s="106"/>
      <c r="M24" s="9"/>
      <c r="N24" s="9"/>
      <c r="O24" s="9"/>
      <c r="P24" s="9"/>
      <c r="Q24" s="9"/>
      <c r="R24" s="64"/>
      <c r="S24" s="9"/>
      <c r="T24" s="9"/>
      <c r="U24" s="9"/>
      <c r="V24" s="9"/>
      <c r="W24" s="9"/>
      <c r="X24" s="64"/>
      <c r="Y24" s="9"/>
      <c r="Z24" s="9"/>
      <c r="AA24" s="9"/>
      <c r="AB24" s="9"/>
      <c r="AC24" s="9"/>
      <c r="AD24" s="9"/>
    </row>
    <row r="25" spans="2:30" x14ac:dyDescent="0.2">
      <c r="B25" s="9"/>
      <c r="C25" s="9"/>
      <c r="D25" s="9"/>
      <c r="E25" s="9"/>
      <c r="F25" s="64"/>
      <c r="G25" s="9"/>
      <c r="H25" s="9"/>
      <c r="I25" s="9"/>
      <c r="J25" s="9"/>
      <c r="K25" s="9"/>
      <c r="L25" s="64"/>
      <c r="M25" s="320"/>
      <c r="N25" s="9"/>
      <c r="O25" s="9"/>
      <c r="P25" s="9"/>
      <c r="Q25" s="9"/>
      <c r="R25" s="64"/>
      <c r="S25" s="9"/>
      <c r="T25" s="9"/>
      <c r="U25" s="9"/>
      <c r="V25" s="9"/>
      <c r="W25" s="9"/>
      <c r="X25" s="64"/>
      <c r="Y25" s="9"/>
      <c r="Z25" s="9"/>
      <c r="AA25" s="9"/>
      <c r="AB25" s="9"/>
      <c r="AC25" s="9"/>
      <c r="AD25" s="9"/>
    </row>
    <row r="26" spans="2:30" x14ac:dyDescent="0.2">
      <c r="B26" s="9"/>
      <c r="C26" s="9"/>
      <c r="D26" s="9"/>
      <c r="E26" s="9"/>
      <c r="F26" s="64"/>
      <c r="G26" s="9"/>
      <c r="H26" s="9"/>
      <c r="I26" s="9"/>
      <c r="J26" s="9"/>
      <c r="K26" s="9"/>
      <c r="L26" s="64"/>
      <c r="M26" s="320"/>
      <c r="N26" s="9"/>
      <c r="O26" s="9"/>
      <c r="P26" s="9"/>
      <c r="Q26" s="9"/>
      <c r="R26" s="64"/>
      <c r="S26" s="320"/>
      <c r="T26" s="9"/>
      <c r="U26" s="9"/>
      <c r="V26" s="9"/>
      <c r="W26" s="9"/>
      <c r="X26" s="64"/>
      <c r="Y26" s="9"/>
      <c r="Z26" s="9"/>
      <c r="AA26" s="9"/>
      <c r="AB26" s="9"/>
      <c r="AC26" s="9"/>
      <c r="AD26" s="9"/>
    </row>
    <row r="27" spans="2:30" x14ac:dyDescent="0.2">
      <c r="B27" s="9"/>
      <c r="C27" s="52"/>
      <c r="D27" s="9"/>
      <c r="E27" s="137"/>
      <c r="F27" s="21"/>
      <c r="G27" s="9"/>
      <c r="H27" s="9"/>
      <c r="I27" s="52"/>
      <c r="J27" s="9"/>
      <c r="K27" s="137"/>
      <c r="L27" s="21"/>
      <c r="M27" s="320"/>
      <c r="N27" s="9"/>
      <c r="O27" s="52"/>
      <c r="P27" s="9"/>
      <c r="Q27" s="137"/>
      <c r="R27" s="21"/>
      <c r="S27" s="320"/>
      <c r="T27" s="9"/>
      <c r="U27" s="52"/>
      <c r="V27" s="9"/>
      <c r="W27" s="137"/>
      <c r="X27" s="21"/>
      <c r="Y27" s="9"/>
      <c r="Z27" s="9"/>
      <c r="AA27" s="9"/>
      <c r="AB27" s="9"/>
      <c r="AC27" s="9"/>
      <c r="AD27" s="9"/>
    </row>
    <row r="28" spans="2:30" x14ac:dyDescent="0.2">
      <c r="B28" s="175" t="s">
        <v>979</v>
      </c>
      <c r="C28" s="316" t="s">
        <v>298</v>
      </c>
      <c r="D28" s="316" t="s">
        <v>943</v>
      </c>
      <c r="E28" s="316" t="s">
        <v>944</v>
      </c>
      <c r="F28" s="21"/>
      <c r="G28" s="9"/>
      <c r="H28" s="175" t="s">
        <v>195</v>
      </c>
      <c r="I28" s="316" t="s">
        <v>298</v>
      </c>
      <c r="J28" s="316" t="s">
        <v>943</v>
      </c>
      <c r="K28" s="316" t="s">
        <v>944</v>
      </c>
      <c r="L28" s="21"/>
      <c r="M28" s="320"/>
      <c r="N28" s="175" t="s">
        <v>198</v>
      </c>
      <c r="O28" s="316" t="s">
        <v>298</v>
      </c>
      <c r="P28" s="316" t="s">
        <v>943</v>
      </c>
      <c r="Q28" s="316" t="s">
        <v>944</v>
      </c>
      <c r="R28" s="21"/>
      <c r="S28" s="9"/>
      <c r="T28" s="175" t="s">
        <v>201</v>
      </c>
      <c r="U28" s="316" t="s">
        <v>298</v>
      </c>
      <c r="V28" s="316" t="s">
        <v>943</v>
      </c>
      <c r="W28" s="316" t="s">
        <v>944</v>
      </c>
      <c r="X28" s="21"/>
      <c r="Y28" s="9"/>
      <c r="Z28" s="9"/>
      <c r="AA28" s="9"/>
      <c r="AB28" s="9"/>
      <c r="AC28" s="9"/>
      <c r="AD28" s="9"/>
    </row>
    <row r="29" spans="2:30" x14ac:dyDescent="0.2">
      <c r="B29" s="444" t="s">
        <v>957</v>
      </c>
      <c r="C29" s="318" t="s">
        <v>990</v>
      </c>
      <c r="D29" s="318" t="s">
        <v>990</v>
      </c>
      <c r="E29" s="318" t="s">
        <v>990</v>
      </c>
      <c r="F29" s="325"/>
      <c r="G29" s="9"/>
      <c r="H29" s="444" t="s">
        <v>957</v>
      </c>
      <c r="I29" s="318" t="s">
        <v>990</v>
      </c>
      <c r="J29" s="318" t="s">
        <v>990</v>
      </c>
      <c r="K29" s="318" t="s">
        <v>990</v>
      </c>
      <c r="L29" s="325"/>
      <c r="M29" s="320"/>
      <c r="N29" s="444" t="s">
        <v>957</v>
      </c>
      <c r="O29" s="318" t="s">
        <v>990</v>
      </c>
      <c r="P29" s="318" t="s">
        <v>990</v>
      </c>
      <c r="Q29" s="318" t="s">
        <v>990</v>
      </c>
      <c r="R29" s="325"/>
      <c r="S29" s="9"/>
      <c r="T29" s="444" t="s">
        <v>957</v>
      </c>
      <c r="U29" s="318" t="s">
        <v>990</v>
      </c>
      <c r="V29" s="318" t="s">
        <v>990</v>
      </c>
      <c r="W29" s="318" t="s">
        <v>990</v>
      </c>
      <c r="X29" s="325"/>
      <c r="Y29" s="9"/>
      <c r="Z29" s="9"/>
      <c r="AA29" s="9"/>
      <c r="AB29" s="9"/>
      <c r="AC29" s="9"/>
      <c r="AD29" s="9"/>
    </row>
    <row r="30" spans="2:30" x14ac:dyDescent="0.2">
      <c r="B30" s="11">
        <v>1</v>
      </c>
      <c r="C30" s="13">
        <v>0.43</v>
      </c>
      <c r="D30" s="13">
        <v>0.48</v>
      </c>
      <c r="E30" s="13">
        <v>0.12</v>
      </c>
      <c r="F30" s="321"/>
      <c r="G30" s="9"/>
      <c r="H30" s="11">
        <v>1</v>
      </c>
      <c r="I30" s="13">
        <v>0.22000000000000003</v>
      </c>
      <c r="J30" s="319"/>
      <c r="K30" s="319"/>
      <c r="L30" s="321"/>
      <c r="M30" s="320"/>
      <c r="N30" s="11">
        <v>1</v>
      </c>
      <c r="O30" s="13">
        <v>0.45662100456620996</v>
      </c>
      <c r="P30" s="13">
        <v>0.28947368421052644</v>
      </c>
      <c r="Q30" s="13">
        <v>0.18584070796460178</v>
      </c>
      <c r="R30" s="321"/>
      <c r="S30" s="9"/>
      <c r="T30" s="11">
        <v>1</v>
      </c>
      <c r="U30" s="13">
        <v>0.30837004405286333</v>
      </c>
      <c r="V30" s="13">
        <v>0.09</v>
      </c>
      <c r="W30" s="13">
        <v>0.04</v>
      </c>
      <c r="X30" s="321"/>
      <c r="Y30" s="9"/>
      <c r="Z30" s="9"/>
      <c r="AA30" s="9"/>
      <c r="AB30" s="9"/>
      <c r="AC30" s="9"/>
      <c r="AD30" s="9"/>
    </row>
    <row r="31" spans="2:30" x14ac:dyDescent="0.2">
      <c r="B31" s="11">
        <v>2</v>
      </c>
      <c r="C31" s="13">
        <v>0.38</v>
      </c>
      <c r="D31" s="13">
        <v>0.22</v>
      </c>
      <c r="E31" s="13">
        <v>0.12</v>
      </c>
      <c r="F31" s="321"/>
      <c r="G31" s="9"/>
      <c r="H31" s="11">
        <v>2</v>
      </c>
      <c r="I31" s="13">
        <v>0.37</v>
      </c>
      <c r="J31" s="319"/>
      <c r="K31" s="319"/>
      <c r="L31" s="321"/>
      <c r="M31" s="320"/>
      <c r="N31" s="11">
        <v>2</v>
      </c>
      <c r="O31" s="13">
        <v>0.45662100456620996</v>
      </c>
      <c r="P31" s="13">
        <v>0.42</v>
      </c>
      <c r="Q31" s="13">
        <v>0.33</v>
      </c>
      <c r="R31" s="321"/>
      <c r="S31" s="9"/>
      <c r="T31" s="11">
        <v>2</v>
      </c>
      <c r="U31" s="13">
        <v>0.28634361233480166</v>
      </c>
      <c r="V31" s="13">
        <v>0.12</v>
      </c>
      <c r="W31" s="13">
        <v>0.03</v>
      </c>
      <c r="X31" s="321"/>
      <c r="Y31" s="9"/>
      <c r="Z31" s="9"/>
      <c r="AA31" s="9"/>
      <c r="AB31" s="9"/>
      <c r="AC31" s="9"/>
      <c r="AD31" s="9"/>
    </row>
    <row r="32" spans="2:30" x14ac:dyDescent="0.2">
      <c r="B32" s="11">
        <v>3</v>
      </c>
      <c r="C32" s="13">
        <v>0.44</v>
      </c>
      <c r="D32" s="13">
        <v>0.18</v>
      </c>
      <c r="E32" s="13">
        <v>0.16</v>
      </c>
      <c r="F32" s="321"/>
      <c r="G32" s="9"/>
      <c r="H32" s="11">
        <v>3</v>
      </c>
      <c r="I32" s="13">
        <v>0.24904214559386972</v>
      </c>
      <c r="J32" s="319"/>
      <c r="K32" s="319"/>
      <c r="L32" s="321"/>
      <c r="M32" s="320"/>
      <c r="N32" s="11">
        <v>3</v>
      </c>
      <c r="O32" s="13">
        <v>0.67</v>
      </c>
      <c r="P32" s="13">
        <v>0.56000000000000005</v>
      </c>
      <c r="Q32" s="13">
        <v>0.28000000000000003</v>
      </c>
      <c r="R32" s="321"/>
      <c r="S32" s="9"/>
      <c r="T32" s="11">
        <v>3</v>
      </c>
      <c r="U32" s="13">
        <v>0.28634361233480166</v>
      </c>
      <c r="V32" s="13">
        <v>0.09</v>
      </c>
      <c r="W32" s="13">
        <v>0.06</v>
      </c>
      <c r="X32" s="321"/>
      <c r="Y32" s="9"/>
      <c r="Z32" s="9"/>
      <c r="AA32" s="9"/>
      <c r="AB32" s="9"/>
      <c r="AC32" s="9"/>
      <c r="AD32" s="9"/>
    </row>
    <row r="33" spans="2:30" x14ac:dyDescent="0.2">
      <c r="B33" s="11">
        <v>4</v>
      </c>
      <c r="C33" s="13">
        <v>0.42</v>
      </c>
      <c r="D33" s="13">
        <v>0.37</v>
      </c>
      <c r="E33" s="13">
        <v>0.25</v>
      </c>
      <c r="F33" s="321"/>
      <c r="G33" s="9"/>
      <c r="H33" s="11">
        <v>4</v>
      </c>
      <c r="I33" s="404">
        <v>0.41</v>
      </c>
      <c r="J33" s="319"/>
      <c r="K33" s="319"/>
      <c r="L33" s="321"/>
      <c r="M33" s="320"/>
      <c r="N33" s="11">
        <v>4</v>
      </c>
      <c r="O33" s="13">
        <v>0.49</v>
      </c>
      <c r="P33" s="13">
        <v>0.31</v>
      </c>
      <c r="Q33" s="13">
        <v>0.26</v>
      </c>
      <c r="R33" s="321"/>
      <c r="S33" s="9"/>
      <c r="T33" s="11">
        <v>4</v>
      </c>
      <c r="U33" s="13">
        <v>0.44052863436123352</v>
      </c>
      <c r="V33" s="13">
        <v>9.8765432098765371E-2</v>
      </c>
      <c r="W33" s="13">
        <v>0.05</v>
      </c>
      <c r="X33" s="321"/>
      <c r="Y33" s="9"/>
      <c r="Z33" s="9"/>
      <c r="AA33" s="9"/>
      <c r="AB33" s="9"/>
      <c r="AC33" s="9"/>
      <c r="AD33" s="9"/>
    </row>
    <row r="34" spans="2:30" x14ac:dyDescent="0.2">
      <c r="B34" s="11">
        <v>5</v>
      </c>
      <c r="C34" s="13">
        <v>0.48</v>
      </c>
      <c r="D34" s="13">
        <v>0.23</v>
      </c>
      <c r="E34" s="13">
        <v>0.21</v>
      </c>
      <c r="F34" s="321"/>
      <c r="G34" s="9"/>
      <c r="H34" s="11">
        <v>5</v>
      </c>
      <c r="I34" s="13">
        <v>0.65</v>
      </c>
      <c r="J34" s="319"/>
      <c r="K34" s="319"/>
      <c r="L34" s="321"/>
      <c r="M34" s="320"/>
      <c r="N34" s="11">
        <v>5</v>
      </c>
      <c r="O34" s="13">
        <v>0.49</v>
      </c>
      <c r="P34" s="13">
        <v>0.22</v>
      </c>
      <c r="Q34" s="13">
        <v>0.21</v>
      </c>
      <c r="R34" s="321"/>
      <c r="S34" s="9"/>
      <c r="T34" s="11">
        <v>5</v>
      </c>
      <c r="U34" s="13">
        <v>0.57999999999999996</v>
      </c>
      <c r="V34" s="13">
        <v>0.16</v>
      </c>
      <c r="W34" s="13">
        <v>0.03</v>
      </c>
      <c r="X34" s="321"/>
      <c r="Y34" s="9"/>
      <c r="Z34" s="9"/>
      <c r="AA34" s="9"/>
      <c r="AB34" s="9"/>
      <c r="AC34" s="9"/>
      <c r="AD34" s="9"/>
    </row>
    <row r="35" spans="2:30" x14ac:dyDescent="0.2">
      <c r="B35" s="11">
        <v>6</v>
      </c>
      <c r="C35" s="13">
        <v>0.35</v>
      </c>
      <c r="D35" s="13">
        <v>0.33</v>
      </c>
      <c r="E35" s="13">
        <v>0.16</v>
      </c>
      <c r="F35" s="321"/>
      <c r="G35" s="9"/>
      <c r="H35" s="11">
        <v>6</v>
      </c>
      <c r="I35" s="13">
        <v>0.24904214559386972</v>
      </c>
      <c r="J35" s="319"/>
      <c r="K35" s="319"/>
      <c r="L35" s="321"/>
      <c r="M35" s="9"/>
      <c r="N35" s="11">
        <v>6</v>
      </c>
      <c r="O35" s="13">
        <v>0.68</v>
      </c>
      <c r="P35" s="13">
        <v>0.23</v>
      </c>
      <c r="Q35" s="13">
        <v>0.19</v>
      </c>
      <c r="R35" s="321"/>
      <c r="S35" s="9"/>
      <c r="T35" s="11">
        <v>6</v>
      </c>
      <c r="U35" s="13">
        <v>0.30837004405286333</v>
      </c>
      <c r="V35" s="13">
        <v>0.17283950617283955</v>
      </c>
      <c r="W35" s="13">
        <v>0.04</v>
      </c>
      <c r="X35" s="321"/>
      <c r="Y35" s="9"/>
      <c r="Z35" s="9"/>
      <c r="AA35" s="9"/>
      <c r="AB35" s="9"/>
      <c r="AC35" s="9"/>
      <c r="AD35" s="9"/>
    </row>
    <row r="36" spans="2:30" x14ac:dyDescent="0.2">
      <c r="B36" s="11">
        <v>7</v>
      </c>
      <c r="C36" s="13">
        <v>0.37</v>
      </c>
      <c r="D36" s="13">
        <v>0.32</v>
      </c>
      <c r="E36" s="13">
        <v>0.22</v>
      </c>
      <c r="F36" s="321"/>
      <c r="G36" s="9"/>
      <c r="H36" s="11">
        <v>7</v>
      </c>
      <c r="I36" s="13">
        <v>0.38</v>
      </c>
      <c r="J36" s="319"/>
      <c r="K36" s="319"/>
      <c r="L36" s="321"/>
      <c r="M36" s="9"/>
      <c r="N36" s="11">
        <v>7</v>
      </c>
      <c r="O36" s="13">
        <v>0.53</v>
      </c>
      <c r="P36" s="13">
        <v>0.25</v>
      </c>
      <c r="Q36" s="13">
        <v>0.24</v>
      </c>
      <c r="R36" s="176"/>
      <c r="S36" s="9"/>
      <c r="T36" s="11">
        <v>7</v>
      </c>
      <c r="U36" s="13">
        <v>0.34</v>
      </c>
      <c r="V36" s="13">
        <v>0.27160493827160492</v>
      </c>
      <c r="W36" s="13">
        <v>0.03</v>
      </c>
      <c r="X36" s="321"/>
      <c r="Y36" s="9"/>
      <c r="Z36" s="9"/>
      <c r="AA36" s="9"/>
      <c r="AB36" s="9"/>
      <c r="AC36" s="9"/>
      <c r="AD36" s="9"/>
    </row>
    <row r="37" spans="2:30" x14ac:dyDescent="0.2">
      <c r="B37" s="11">
        <v>8</v>
      </c>
      <c r="C37" s="17">
        <v>0.34</v>
      </c>
      <c r="D37" s="17">
        <v>0.28000000000000003</v>
      </c>
      <c r="E37" s="17">
        <v>0.22</v>
      </c>
      <c r="F37" s="64"/>
      <c r="G37" s="9"/>
      <c r="H37" s="69" t="s">
        <v>51</v>
      </c>
      <c r="I37" s="13">
        <f>AVERAGE(I30:I36)</f>
        <v>0.36115489874110562</v>
      </c>
      <c r="J37" s="13"/>
      <c r="K37" s="13"/>
      <c r="L37" s="64"/>
      <c r="M37" s="9"/>
      <c r="N37" s="11">
        <v>8</v>
      </c>
      <c r="O37" s="13">
        <v>0.66</v>
      </c>
      <c r="P37" s="13">
        <v>0.22</v>
      </c>
      <c r="Q37" s="13"/>
      <c r="R37" s="176"/>
      <c r="S37" s="9"/>
      <c r="T37" s="69" t="s">
        <v>51</v>
      </c>
      <c r="U37" s="13">
        <f>AVERAGE(U30:U36)</f>
        <v>0.364279421019509</v>
      </c>
      <c r="V37" s="13">
        <f t="shared" ref="V37:W37" si="3">AVERAGE(V30:V36)</f>
        <v>0.14331569664903002</v>
      </c>
      <c r="W37" s="13">
        <f t="shared" si="3"/>
        <v>0.04</v>
      </c>
      <c r="X37" s="64"/>
      <c r="Y37" s="9"/>
      <c r="Z37" s="9"/>
      <c r="AA37" s="9"/>
      <c r="AB37" s="9"/>
      <c r="AC37" s="9"/>
      <c r="AD37" s="9"/>
    </row>
    <row r="38" spans="2:30" x14ac:dyDescent="0.2">
      <c r="B38" s="11">
        <v>9</v>
      </c>
      <c r="C38" s="17">
        <v>0.28000000000000003</v>
      </c>
      <c r="D38" s="17">
        <v>0.28000000000000003</v>
      </c>
      <c r="E38" s="17">
        <v>0.22</v>
      </c>
      <c r="F38" s="64"/>
      <c r="G38" s="9"/>
      <c r="H38" s="9"/>
      <c r="I38" s="9"/>
      <c r="J38" s="9"/>
      <c r="K38" s="9"/>
      <c r="L38" s="64"/>
      <c r="M38" s="9"/>
      <c r="N38" s="11">
        <v>9</v>
      </c>
      <c r="O38" s="13">
        <v>0.56999999999999995</v>
      </c>
      <c r="P38" s="13"/>
      <c r="Q38" s="13"/>
      <c r="R38" s="321"/>
      <c r="S38" s="9"/>
      <c r="T38" s="9"/>
      <c r="U38" s="9"/>
      <c r="V38" s="9"/>
      <c r="W38" s="9"/>
      <c r="X38" s="64"/>
      <c r="Y38" s="9"/>
      <c r="Z38" s="9"/>
      <c r="AA38" s="9"/>
      <c r="AB38" s="9"/>
      <c r="AC38" s="9"/>
      <c r="AD38" s="9"/>
    </row>
    <row r="39" spans="2:30" x14ac:dyDescent="0.2">
      <c r="B39" s="11">
        <v>10</v>
      </c>
      <c r="C39" s="17">
        <v>0.67</v>
      </c>
      <c r="D39" s="17">
        <v>0.56999999999999995</v>
      </c>
      <c r="E39" s="17">
        <v>0.51</v>
      </c>
      <c r="F39" s="64"/>
      <c r="G39" s="9"/>
      <c r="H39" s="9"/>
      <c r="I39" s="9"/>
      <c r="J39" s="9"/>
      <c r="K39" s="9"/>
      <c r="L39" s="64"/>
      <c r="M39" s="9"/>
      <c r="N39" s="11">
        <v>10</v>
      </c>
      <c r="O39" s="13">
        <v>0.44</v>
      </c>
      <c r="P39" s="13"/>
      <c r="Q39" s="13"/>
      <c r="R39" s="321"/>
      <c r="S39" s="9"/>
      <c r="T39" s="9"/>
      <c r="U39" s="9"/>
      <c r="V39" s="9"/>
      <c r="W39" s="9"/>
      <c r="X39" s="64"/>
      <c r="Y39" s="9"/>
      <c r="Z39" s="9"/>
      <c r="AA39" s="9"/>
      <c r="AB39" s="9"/>
      <c r="AC39" s="9"/>
      <c r="AD39" s="9"/>
    </row>
    <row r="40" spans="2:30" x14ac:dyDescent="0.2">
      <c r="B40" s="11">
        <v>11</v>
      </c>
      <c r="C40" s="17">
        <v>0.43</v>
      </c>
      <c r="D40" s="17">
        <v>0.36</v>
      </c>
      <c r="E40" s="17">
        <v>0.28999999999999998</v>
      </c>
      <c r="F40" s="64"/>
      <c r="G40" s="9"/>
      <c r="H40" s="9"/>
      <c r="I40" s="9"/>
      <c r="J40" s="9"/>
      <c r="K40" s="9"/>
      <c r="L40" s="64"/>
      <c r="M40" s="320"/>
      <c r="N40" s="69" t="s">
        <v>51</v>
      </c>
      <c r="O40" s="13">
        <f>AVERAGE(O30:O39)</f>
        <v>0.54432420091324207</v>
      </c>
      <c r="P40" s="13">
        <f t="shared" ref="P40:Q40" si="4">AVERAGE(P30:P39)</f>
        <v>0.31243421052631587</v>
      </c>
      <c r="Q40" s="13">
        <f t="shared" si="4"/>
        <v>0.24226295828065741</v>
      </c>
      <c r="R40" s="64"/>
      <c r="S40" s="9"/>
      <c r="T40" s="9"/>
      <c r="U40" s="9"/>
      <c r="V40" s="9"/>
      <c r="W40" s="9"/>
      <c r="X40" s="64"/>
      <c r="Y40" s="9"/>
      <c r="Z40" s="9"/>
      <c r="AA40" s="9"/>
      <c r="AB40" s="9"/>
      <c r="AC40" s="9"/>
      <c r="AD40" s="9"/>
    </row>
    <row r="41" spans="2:30" x14ac:dyDescent="0.2">
      <c r="B41" s="11">
        <v>12</v>
      </c>
      <c r="C41" s="17">
        <v>0.44</v>
      </c>
      <c r="D41" s="17">
        <v>0.42</v>
      </c>
      <c r="E41" s="17">
        <v>0.32</v>
      </c>
      <c r="F41" s="64"/>
      <c r="G41" s="9"/>
      <c r="H41" s="9"/>
      <c r="I41" s="9"/>
      <c r="J41" s="9"/>
      <c r="K41" s="9"/>
      <c r="L41" s="64"/>
      <c r="M41" s="320"/>
      <c r="N41" s="9"/>
      <c r="O41" s="9"/>
      <c r="P41" s="9"/>
      <c r="Q41" s="9"/>
      <c r="R41" s="64"/>
      <c r="S41" s="9"/>
      <c r="T41" s="9"/>
      <c r="U41" s="9"/>
      <c r="V41" s="9"/>
      <c r="W41" s="9"/>
      <c r="X41" s="64"/>
      <c r="Y41" s="9"/>
      <c r="Z41" s="9"/>
      <c r="AA41" s="9"/>
      <c r="AB41" s="9"/>
      <c r="AC41" s="9"/>
      <c r="AD41" s="9"/>
    </row>
    <row r="42" spans="2:30" x14ac:dyDescent="0.2">
      <c r="B42" s="11">
        <v>13</v>
      </c>
      <c r="C42" s="17">
        <v>0.47</v>
      </c>
      <c r="D42" s="17">
        <v>0.54</v>
      </c>
      <c r="E42" s="17">
        <v>0.18</v>
      </c>
      <c r="F42" s="64"/>
      <c r="G42" s="9"/>
      <c r="H42" s="9"/>
      <c r="I42" s="9"/>
      <c r="J42" s="9"/>
      <c r="K42" s="9"/>
      <c r="L42" s="64"/>
      <c r="M42" s="320"/>
      <c r="N42" s="176"/>
      <c r="O42" s="9"/>
      <c r="P42" s="9"/>
      <c r="Q42" s="9"/>
      <c r="R42" s="64"/>
      <c r="S42" s="9"/>
      <c r="T42" s="9"/>
      <c r="U42" s="9"/>
      <c r="V42" s="9"/>
      <c r="W42" s="9"/>
      <c r="X42" s="64"/>
      <c r="Y42" s="9"/>
      <c r="Z42" s="9"/>
      <c r="AA42" s="9"/>
      <c r="AB42" s="9"/>
      <c r="AC42" s="9"/>
      <c r="AD42" s="9"/>
    </row>
    <row r="43" spans="2:30" x14ac:dyDescent="0.2">
      <c r="B43" s="11">
        <v>14</v>
      </c>
      <c r="C43" s="17">
        <v>0.39</v>
      </c>
      <c r="D43" s="17">
        <v>0.34</v>
      </c>
      <c r="E43" s="17">
        <v>0.12</v>
      </c>
      <c r="F43" s="21"/>
      <c r="G43" s="9"/>
      <c r="H43" s="9"/>
      <c r="I43" s="9"/>
      <c r="J43" s="9"/>
      <c r="K43" s="9"/>
      <c r="L43" s="64"/>
      <c r="M43" s="9"/>
      <c r="N43" s="9"/>
      <c r="O43" s="9"/>
      <c r="P43" s="9"/>
      <c r="Q43" s="9"/>
      <c r="R43" s="64"/>
      <c r="S43" s="9"/>
      <c r="T43" s="9"/>
      <c r="U43" s="9"/>
      <c r="V43" s="9"/>
      <c r="W43" s="9"/>
      <c r="X43" s="21"/>
      <c r="Y43" s="9"/>
      <c r="Z43" s="9"/>
      <c r="AA43" s="9"/>
      <c r="AB43" s="9"/>
      <c r="AC43" s="9"/>
      <c r="AD43" s="9"/>
    </row>
    <row r="44" spans="2:30" x14ac:dyDescent="0.2">
      <c r="B44" s="69" t="s">
        <v>51</v>
      </c>
      <c r="C44" s="13">
        <f>AVERAGE(C30:C43)</f>
        <v>0.42071428571428571</v>
      </c>
      <c r="D44" s="13">
        <f t="shared" ref="D44:E44" si="5">AVERAGE(D30:D43)</f>
        <v>0.35142857142857142</v>
      </c>
      <c r="E44" s="13">
        <f t="shared" si="5"/>
        <v>0.22142857142857145</v>
      </c>
      <c r="F44" s="21"/>
      <c r="G44" s="9"/>
      <c r="H44" s="9"/>
      <c r="I44" s="9"/>
      <c r="J44" s="9"/>
      <c r="K44" s="9"/>
      <c r="L44" s="64"/>
      <c r="M44" s="9"/>
      <c r="N44" s="9"/>
      <c r="O44" s="9"/>
      <c r="P44" s="9"/>
      <c r="Q44" s="9"/>
      <c r="R44" s="64"/>
      <c r="S44" s="9"/>
      <c r="T44" s="9"/>
      <c r="U44" s="9"/>
      <c r="V44" s="9"/>
      <c r="W44" s="9"/>
      <c r="X44" s="64"/>
      <c r="Y44" s="9"/>
      <c r="Z44" s="9"/>
      <c r="AA44" s="9"/>
      <c r="AB44" s="9"/>
      <c r="AC44" s="9"/>
      <c r="AD44" s="9"/>
    </row>
    <row r="45" spans="2:30" x14ac:dyDescent="0.2">
      <c r="B45" s="9"/>
      <c r="C45" s="9"/>
      <c r="D45" s="9"/>
      <c r="E45" s="9"/>
      <c r="F45" s="325"/>
      <c r="G45" s="9"/>
      <c r="H45" s="9"/>
      <c r="I45" s="9"/>
      <c r="J45" s="9"/>
      <c r="K45" s="9"/>
      <c r="L45" s="64"/>
      <c r="M45" s="9"/>
      <c r="N45" s="9"/>
      <c r="O45" s="9"/>
      <c r="P45" s="9"/>
      <c r="Q45" s="9"/>
      <c r="R45" s="64"/>
      <c r="S45" s="9"/>
      <c r="T45" s="9"/>
      <c r="U45" s="9"/>
      <c r="V45" s="9"/>
      <c r="W45" s="9"/>
      <c r="X45" s="64"/>
      <c r="Y45" s="9"/>
      <c r="Z45" s="9"/>
      <c r="AA45" s="9"/>
      <c r="AB45" s="9"/>
      <c r="AC45" s="9"/>
      <c r="AD45" s="9"/>
    </row>
    <row r="46" spans="2:30" x14ac:dyDescent="0.2">
      <c r="B46" s="9"/>
      <c r="C46" s="52"/>
      <c r="D46" s="9"/>
      <c r="E46" s="137"/>
      <c r="F46" s="321"/>
      <c r="G46" s="9"/>
      <c r="H46" s="9"/>
      <c r="I46" s="52"/>
      <c r="J46" s="9"/>
      <c r="K46" s="137"/>
      <c r="L46" s="21"/>
      <c r="M46" s="320"/>
      <c r="N46" s="9"/>
      <c r="O46" s="52"/>
      <c r="P46" s="9"/>
      <c r="Q46" s="137"/>
      <c r="R46" s="21"/>
      <c r="S46" s="9"/>
      <c r="T46" s="9"/>
      <c r="U46" s="52"/>
      <c r="V46" s="9"/>
      <c r="W46" s="137"/>
      <c r="X46" s="64"/>
      <c r="Y46" s="9"/>
      <c r="Z46" s="9"/>
      <c r="AA46" s="9"/>
      <c r="AB46" s="9"/>
      <c r="AC46" s="9"/>
      <c r="AD46" s="9"/>
    </row>
    <row r="47" spans="2:30" x14ac:dyDescent="0.2">
      <c r="B47" s="175" t="s">
        <v>978</v>
      </c>
      <c r="C47" s="316" t="s">
        <v>298</v>
      </c>
      <c r="D47" s="316" t="s">
        <v>943</v>
      </c>
      <c r="E47" s="316" t="s">
        <v>944</v>
      </c>
      <c r="F47" s="321"/>
      <c r="G47" s="9"/>
      <c r="H47" s="175" t="s">
        <v>196</v>
      </c>
      <c r="I47" s="316" t="s">
        <v>298</v>
      </c>
      <c r="J47" s="316" t="s">
        <v>943</v>
      </c>
      <c r="K47" s="316" t="s">
        <v>944</v>
      </c>
      <c r="L47" s="21"/>
      <c r="M47" s="320"/>
      <c r="N47" s="175" t="s">
        <v>199</v>
      </c>
      <c r="O47" s="316" t="s">
        <v>298</v>
      </c>
      <c r="P47" s="316" t="s">
        <v>943</v>
      </c>
      <c r="Q47" s="316" t="s">
        <v>944</v>
      </c>
      <c r="R47" s="21"/>
      <c r="S47" s="9"/>
      <c r="T47" s="175" t="s">
        <v>202</v>
      </c>
      <c r="U47" s="316" t="s">
        <v>298</v>
      </c>
      <c r="V47" s="316" t="s">
        <v>943</v>
      </c>
      <c r="W47" s="316" t="s">
        <v>944</v>
      </c>
      <c r="X47" s="21"/>
      <c r="Y47" s="9"/>
      <c r="Z47" s="9"/>
      <c r="AA47" s="9"/>
      <c r="AB47" s="9"/>
      <c r="AC47" s="9"/>
      <c r="AD47" s="9"/>
    </row>
    <row r="48" spans="2:30" x14ac:dyDescent="0.2">
      <c r="B48" s="444" t="s">
        <v>957</v>
      </c>
      <c r="C48" s="318" t="s">
        <v>990</v>
      </c>
      <c r="D48" s="318" t="s">
        <v>990</v>
      </c>
      <c r="E48" s="318" t="s">
        <v>990</v>
      </c>
      <c r="F48" s="321"/>
      <c r="G48" s="9"/>
      <c r="H48" s="444" t="s">
        <v>957</v>
      </c>
      <c r="I48" s="318" t="s">
        <v>990</v>
      </c>
      <c r="J48" s="318" t="s">
        <v>990</v>
      </c>
      <c r="K48" s="318" t="s">
        <v>990</v>
      </c>
      <c r="L48" s="325"/>
      <c r="M48" s="320"/>
      <c r="N48" s="444" t="s">
        <v>957</v>
      </c>
      <c r="O48" s="318" t="s">
        <v>990</v>
      </c>
      <c r="P48" s="318" t="s">
        <v>990</v>
      </c>
      <c r="Q48" s="318" t="s">
        <v>990</v>
      </c>
      <c r="R48" s="325"/>
      <c r="S48" s="9"/>
      <c r="T48" s="444" t="s">
        <v>957</v>
      </c>
      <c r="U48" s="318" t="s">
        <v>990</v>
      </c>
      <c r="V48" s="318" t="s">
        <v>990</v>
      </c>
      <c r="W48" s="318" t="s">
        <v>990</v>
      </c>
      <c r="X48" s="325"/>
      <c r="Y48" s="9"/>
      <c r="Z48" s="9"/>
      <c r="AA48" s="9"/>
      <c r="AB48" s="9"/>
      <c r="AC48" s="9"/>
      <c r="AD48" s="9"/>
    </row>
    <row r="49" spans="2:30" x14ac:dyDescent="0.2">
      <c r="B49" s="11">
        <v>1</v>
      </c>
      <c r="C49" s="13">
        <v>0.34117647058823519</v>
      </c>
      <c r="D49" s="13">
        <v>0.46000000000000008</v>
      </c>
      <c r="E49" s="13">
        <v>0.28535980148883389</v>
      </c>
      <c r="F49" s="321"/>
      <c r="G49" s="9"/>
      <c r="H49" s="11">
        <v>1</v>
      </c>
      <c r="I49" s="13">
        <v>0.44</v>
      </c>
      <c r="J49" s="13">
        <v>7.0000000000000007E-2</v>
      </c>
      <c r="K49" s="13">
        <v>0.04</v>
      </c>
      <c r="L49" s="321"/>
      <c r="M49" s="320"/>
      <c r="N49" s="11">
        <v>1</v>
      </c>
      <c r="O49" s="13">
        <v>0.27</v>
      </c>
      <c r="P49" s="319"/>
      <c r="Q49" s="319"/>
      <c r="R49" s="321"/>
      <c r="S49" s="9"/>
      <c r="T49" s="11">
        <v>1</v>
      </c>
      <c r="U49" s="17">
        <v>0.52</v>
      </c>
      <c r="V49" s="13">
        <v>0.20792079207920799</v>
      </c>
      <c r="W49" s="319"/>
      <c r="X49" s="321"/>
      <c r="Y49" s="9"/>
      <c r="Z49" s="9"/>
      <c r="AA49" s="9"/>
      <c r="AB49" s="9"/>
      <c r="AC49" s="9"/>
      <c r="AD49" s="9"/>
    </row>
    <row r="50" spans="2:30" x14ac:dyDescent="0.2">
      <c r="B50" s="11">
        <v>2</v>
      </c>
      <c r="C50" s="13">
        <v>0.32941176470588251</v>
      </c>
      <c r="D50" s="17">
        <v>0.56999999999999995</v>
      </c>
      <c r="E50" s="17">
        <v>0.48</v>
      </c>
      <c r="F50" s="321"/>
      <c r="G50" s="9"/>
      <c r="H50" s="11">
        <v>2</v>
      </c>
      <c r="I50" s="13">
        <v>0.23000000000000004</v>
      </c>
      <c r="J50" s="13">
        <v>0.04</v>
      </c>
      <c r="K50" s="13">
        <v>0.03</v>
      </c>
      <c r="L50" s="321"/>
      <c r="M50" s="320"/>
      <c r="N50" s="11">
        <v>2</v>
      </c>
      <c r="O50" s="13">
        <v>0.16</v>
      </c>
      <c r="P50" s="319"/>
      <c r="Q50" s="319"/>
      <c r="R50" s="321"/>
      <c r="S50" s="9"/>
      <c r="T50" s="11">
        <v>2</v>
      </c>
      <c r="U50" s="17">
        <v>0.24</v>
      </c>
      <c r="V50" s="13">
        <v>0.18481848184818483</v>
      </c>
      <c r="W50" s="319"/>
      <c r="X50" s="321"/>
      <c r="Y50" s="9"/>
      <c r="Z50" s="9"/>
      <c r="AA50" s="9"/>
      <c r="AB50" s="9"/>
      <c r="AC50" s="9"/>
      <c r="AD50" s="9"/>
    </row>
    <row r="51" spans="2:30" x14ac:dyDescent="0.2">
      <c r="B51" s="11">
        <v>3</v>
      </c>
      <c r="C51" s="13">
        <v>0.32941176470588251</v>
      </c>
      <c r="D51" s="13">
        <v>0.3600000000000001</v>
      </c>
      <c r="E51" s="13">
        <v>0.33498759305210912</v>
      </c>
      <c r="F51" s="321"/>
      <c r="G51" s="9"/>
      <c r="H51" s="11">
        <v>3</v>
      </c>
      <c r="I51" s="13">
        <v>0.24904214559386972</v>
      </c>
      <c r="J51" s="13">
        <v>0.05</v>
      </c>
      <c r="K51" s="13">
        <v>0.04</v>
      </c>
      <c r="L51" s="321"/>
      <c r="M51" s="323"/>
      <c r="N51" s="11">
        <v>3</v>
      </c>
      <c r="O51" s="13">
        <v>0.19</v>
      </c>
      <c r="P51" s="319"/>
      <c r="Q51" s="319"/>
      <c r="R51" s="321"/>
      <c r="S51" s="9"/>
      <c r="T51" s="11">
        <v>3</v>
      </c>
      <c r="U51" s="17">
        <v>0.49</v>
      </c>
      <c r="V51" s="13">
        <v>0.27722772277227731</v>
      </c>
      <c r="W51" s="319"/>
      <c r="X51" s="321"/>
      <c r="Y51" s="9"/>
      <c r="Z51" s="9"/>
      <c r="AA51" s="9"/>
      <c r="AB51" s="9"/>
      <c r="AC51" s="9"/>
      <c r="AD51" s="9"/>
    </row>
    <row r="52" spans="2:30" x14ac:dyDescent="0.2">
      <c r="B52" s="11">
        <v>4</v>
      </c>
      <c r="C52" s="13">
        <v>0.31764705882352962</v>
      </c>
      <c r="D52" s="13">
        <v>0.39</v>
      </c>
      <c r="E52" s="13">
        <v>0.34739454094292799</v>
      </c>
      <c r="F52" s="321"/>
      <c r="G52" s="9"/>
      <c r="H52" s="11">
        <v>4</v>
      </c>
      <c r="I52" s="13">
        <v>0.39</v>
      </c>
      <c r="J52" s="13">
        <v>0.06</v>
      </c>
      <c r="K52" s="13">
        <v>0.05</v>
      </c>
      <c r="L52" s="321"/>
      <c r="M52" s="323"/>
      <c r="N52" s="11">
        <v>4</v>
      </c>
      <c r="O52" s="13">
        <v>0.25</v>
      </c>
      <c r="P52" s="319"/>
      <c r="Q52" s="319"/>
      <c r="R52" s="321"/>
      <c r="S52" s="64"/>
      <c r="T52" s="11">
        <v>4</v>
      </c>
      <c r="U52" s="17">
        <v>0.32</v>
      </c>
      <c r="V52" s="13">
        <v>0.2310231023102311</v>
      </c>
      <c r="W52" s="319"/>
      <c r="X52" s="321"/>
      <c r="Y52" s="9"/>
      <c r="Z52" s="9"/>
      <c r="AA52" s="9"/>
      <c r="AB52" s="9"/>
      <c r="AC52" s="9"/>
      <c r="AD52" s="9"/>
    </row>
    <row r="53" spans="2:30" x14ac:dyDescent="0.2">
      <c r="B53" s="11">
        <v>5</v>
      </c>
      <c r="C53" s="13">
        <v>0.27</v>
      </c>
      <c r="D53" s="13">
        <v>0.55000000000000004</v>
      </c>
      <c r="E53" s="13">
        <v>0.23446658851113722</v>
      </c>
      <c r="F53" s="321"/>
      <c r="G53" s="9"/>
      <c r="H53" s="11">
        <v>5</v>
      </c>
      <c r="I53" s="13">
        <v>0.30999999999999994</v>
      </c>
      <c r="J53" s="13">
        <v>0.05</v>
      </c>
      <c r="K53" s="13">
        <v>0.04</v>
      </c>
      <c r="L53" s="321"/>
      <c r="M53" s="324"/>
      <c r="N53" s="11">
        <v>5</v>
      </c>
      <c r="O53" s="13">
        <v>0.14000000000000001</v>
      </c>
      <c r="P53" s="319"/>
      <c r="Q53" s="319"/>
      <c r="R53" s="321"/>
      <c r="S53" s="9"/>
      <c r="T53" s="11">
        <v>5</v>
      </c>
      <c r="U53" s="17">
        <v>0.46</v>
      </c>
      <c r="V53" s="13">
        <v>0.48514851485148519</v>
      </c>
      <c r="W53" s="319"/>
      <c r="X53" s="321"/>
      <c r="Y53" s="9"/>
      <c r="Z53" s="9"/>
      <c r="AA53" s="9"/>
      <c r="AB53" s="9"/>
      <c r="AC53" s="9"/>
      <c r="AD53" s="9"/>
    </row>
    <row r="54" spans="2:30" x14ac:dyDescent="0.2">
      <c r="B54" s="11">
        <v>6</v>
      </c>
      <c r="C54" s="13">
        <v>0.13</v>
      </c>
      <c r="D54" s="13">
        <v>0.55000000000000004</v>
      </c>
      <c r="E54" s="13">
        <v>0.24618991793669409</v>
      </c>
      <c r="F54" s="321"/>
      <c r="G54" s="9"/>
      <c r="H54" s="11">
        <v>6</v>
      </c>
      <c r="I54" s="13">
        <v>0.24904214559386972</v>
      </c>
      <c r="J54" s="13">
        <v>0.08</v>
      </c>
      <c r="K54" s="13">
        <v>0.06</v>
      </c>
      <c r="L54" s="321"/>
      <c r="M54" s="324"/>
      <c r="N54" s="11">
        <v>6</v>
      </c>
      <c r="O54" s="13">
        <v>0.27</v>
      </c>
      <c r="P54" s="319"/>
      <c r="Q54" s="319"/>
      <c r="R54" s="321"/>
      <c r="S54" s="216"/>
      <c r="T54" s="11">
        <v>6</v>
      </c>
      <c r="U54" s="17">
        <v>0.43</v>
      </c>
      <c r="V54" s="13">
        <v>0.32343234323432329</v>
      </c>
      <c r="W54" s="319"/>
      <c r="X54" s="321"/>
      <c r="Y54" s="9"/>
      <c r="Z54" s="9"/>
      <c r="AA54" s="9"/>
      <c r="AB54" s="9"/>
      <c r="AC54" s="9"/>
      <c r="AD54" s="9"/>
    </row>
    <row r="55" spans="2:30" x14ac:dyDescent="0.2">
      <c r="B55" s="11">
        <v>7</v>
      </c>
      <c r="C55" s="13">
        <v>0.73619631901840477</v>
      </c>
      <c r="D55" s="13">
        <v>0.52000000000000013</v>
      </c>
      <c r="E55" s="13">
        <v>0.23446658851113722</v>
      </c>
      <c r="F55" s="321"/>
      <c r="G55" s="9"/>
      <c r="H55" s="11">
        <v>7</v>
      </c>
      <c r="I55" s="13">
        <v>0.42</v>
      </c>
      <c r="J55" s="13">
        <v>0.02</v>
      </c>
      <c r="K55" s="13">
        <v>0.02</v>
      </c>
      <c r="L55" s="321"/>
      <c r="M55" s="324"/>
      <c r="N55" s="11">
        <v>7</v>
      </c>
      <c r="O55" s="13">
        <v>0.18</v>
      </c>
      <c r="P55" s="319"/>
      <c r="Q55" s="319"/>
      <c r="R55" s="321"/>
      <c r="S55" s="216"/>
      <c r="T55" s="11">
        <v>7</v>
      </c>
      <c r="U55" s="17">
        <v>0.53</v>
      </c>
      <c r="V55" s="13">
        <v>0.2310231023102311</v>
      </c>
      <c r="W55" s="319"/>
      <c r="X55" s="321"/>
      <c r="Y55" s="9"/>
      <c r="Z55" s="9"/>
      <c r="AA55" s="9"/>
      <c r="AB55" s="9"/>
      <c r="AC55" s="9"/>
      <c r="AD55" s="9"/>
    </row>
    <row r="56" spans="2:30" x14ac:dyDescent="0.2">
      <c r="B56" s="11">
        <v>8</v>
      </c>
      <c r="C56" s="13">
        <v>0.73619631901840477</v>
      </c>
      <c r="D56" s="13">
        <v>0.47000000000000008</v>
      </c>
      <c r="E56" s="13">
        <v>0.28135990621336471</v>
      </c>
      <c r="F56" s="64"/>
      <c r="G56" s="9"/>
      <c r="H56" s="69" t="s">
        <v>51</v>
      </c>
      <c r="I56" s="13">
        <f>AVERAGE(I49:I55)</f>
        <v>0.32686918445539132</v>
      </c>
      <c r="J56" s="13">
        <f t="shared" ref="J56:K56" si="6">AVERAGE(J49:J55)</f>
        <v>5.2857142857142866E-2</v>
      </c>
      <c r="K56" s="13">
        <f t="shared" si="6"/>
        <v>0.04</v>
      </c>
      <c r="L56" s="64"/>
      <c r="M56" s="9"/>
      <c r="N56" s="69" t="s">
        <v>51</v>
      </c>
      <c r="O56" s="13">
        <f>AVERAGE(O49:O55)</f>
        <v>0.2085714285714286</v>
      </c>
      <c r="P56" s="17"/>
      <c r="Q56" s="17"/>
      <c r="R56" s="64"/>
      <c r="S56" s="216"/>
      <c r="T56" s="69" t="s">
        <v>51</v>
      </c>
      <c r="U56" s="13">
        <f>AVERAGE(U49:U55)</f>
        <v>0.42714285714285716</v>
      </c>
      <c r="V56" s="13">
        <f>AVERAGE(V49:V55)</f>
        <v>0.27722772277227731</v>
      </c>
      <c r="W56" s="17"/>
      <c r="X56" s="64"/>
      <c r="Y56" s="9"/>
      <c r="Z56" s="9"/>
      <c r="AA56" s="9"/>
      <c r="AB56" s="9"/>
      <c r="AC56" s="9"/>
      <c r="AD56" s="9"/>
    </row>
    <row r="57" spans="2:30" x14ac:dyDescent="0.2">
      <c r="B57" s="11">
        <v>9</v>
      </c>
      <c r="C57" s="319"/>
      <c r="D57" s="13">
        <v>0.3600000000000001</v>
      </c>
      <c r="E57" s="13">
        <v>0.29776674937965275</v>
      </c>
      <c r="F57" s="64"/>
      <c r="G57" s="9"/>
      <c r="H57" s="9"/>
      <c r="I57" s="9"/>
      <c r="J57" s="9"/>
      <c r="K57" s="9"/>
      <c r="L57" s="64"/>
      <c r="M57" s="9"/>
      <c r="N57" s="143"/>
      <c r="O57" s="64"/>
      <c r="P57" s="325"/>
      <c r="Q57" s="325"/>
      <c r="R57" s="325"/>
      <c r="S57" s="325"/>
      <c r="T57" s="64"/>
      <c r="U57" s="325"/>
      <c r="V57" s="325"/>
      <c r="W57" s="325"/>
      <c r="X57" s="321"/>
      <c r="Y57" s="9"/>
      <c r="Z57" s="9"/>
      <c r="AA57" s="9"/>
      <c r="AB57" s="9"/>
      <c r="AC57" s="9"/>
      <c r="AD57" s="9"/>
    </row>
    <row r="58" spans="2:30" x14ac:dyDescent="0.2">
      <c r="B58" s="11">
        <v>10</v>
      </c>
      <c r="C58" s="319"/>
      <c r="D58" s="13">
        <v>0.33000000000000007</v>
      </c>
      <c r="E58" s="13">
        <v>0.17369727047146399</v>
      </c>
      <c r="F58" s="321"/>
      <c r="G58" s="9"/>
      <c r="H58" s="9"/>
      <c r="I58" s="9"/>
      <c r="J58" s="9"/>
      <c r="K58" s="9"/>
      <c r="L58" s="64"/>
      <c r="M58" s="320"/>
      <c r="N58" s="64"/>
      <c r="O58" s="325"/>
      <c r="P58" s="325"/>
      <c r="Q58" s="325"/>
      <c r="R58" s="325"/>
      <c r="S58" s="9"/>
      <c r="T58" s="176"/>
      <c r="U58" s="321"/>
      <c r="V58" s="321"/>
      <c r="W58" s="321"/>
      <c r="X58" s="176"/>
      <c r="Y58" s="9"/>
      <c r="Z58" s="9"/>
      <c r="AA58" s="9"/>
      <c r="AB58" s="9"/>
      <c r="AC58" s="9"/>
      <c r="AD58" s="9"/>
    </row>
    <row r="59" spans="2:30" x14ac:dyDescent="0.2">
      <c r="B59" s="11">
        <v>11</v>
      </c>
      <c r="C59" s="319"/>
      <c r="D59" s="13">
        <v>0.55000000000000004</v>
      </c>
      <c r="E59" s="13">
        <v>0.23</v>
      </c>
      <c r="F59" s="321"/>
      <c r="G59" s="9"/>
      <c r="H59" s="9"/>
      <c r="I59" s="9"/>
      <c r="J59" s="9"/>
      <c r="K59" s="9"/>
      <c r="L59" s="64"/>
      <c r="M59" s="320"/>
      <c r="N59" s="176"/>
      <c r="O59" s="321"/>
      <c r="P59" s="321"/>
      <c r="Q59" s="321"/>
      <c r="R59" s="321"/>
      <c r="S59" s="320"/>
      <c r="T59" s="176"/>
      <c r="U59" s="321"/>
      <c r="V59" s="321"/>
      <c r="W59" s="321"/>
      <c r="X59" s="176"/>
      <c r="Y59" s="9"/>
      <c r="Z59" s="9"/>
      <c r="AA59" s="9"/>
      <c r="AB59" s="9"/>
      <c r="AC59" s="9"/>
      <c r="AD59" s="9"/>
    </row>
    <row r="60" spans="2:30" x14ac:dyDescent="0.2">
      <c r="B60" s="11">
        <v>12</v>
      </c>
      <c r="C60" s="319"/>
      <c r="D60" s="13">
        <v>0.47</v>
      </c>
      <c r="E60" s="13">
        <v>0.33</v>
      </c>
      <c r="F60" s="321"/>
      <c r="G60" s="9"/>
      <c r="H60" s="9"/>
      <c r="I60" s="9"/>
      <c r="J60" s="9"/>
      <c r="K60" s="9"/>
      <c r="L60" s="64"/>
      <c r="M60" s="320"/>
      <c r="N60" s="176"/>
      <c r="O60" s="321"/>
      <c r="P60" s="321"/>
      <c r="Q60" s="321"/>
      <c r="R60" s="176"/>
      <c r="S60" s="320"/>
      <c r="T60" s="176"/>
      <c r="U60" s="321"/>
      <c r="V60" s="321"/>
      <c r="W60" s="321"/>
      <c r="X60" s="176"/>
      <c r="Y60" s="9"/>
      <c r="Z60" s="9"/>
      <c r="AA60" s="9"/>
      <c r="AB60" s="9"/>
      <c r="AC60" s="9"/>
      <c r="AD60" s="9"/>
    </row>
    <row r="61" spans="2:30" x14ac:dyDescent="0.2">
      <c r="B61" s="11">
        <v>13</v>
      </c>
      <c r="C61" s="319"/>
      <c r="D61" s="13">
        <v>0.37000000000000011</v>
      </c>
      <c r="E61" s="13">
        <v>0.41</v>
      </c>
      <c r="F61" s="64"/>
      <c r="G61" s="9"/>
      <c r="H61" s="42"/>
      <c r="I61" s="42"/>
      <c r="J61" s="42"/>
      <c r="K61" s="42"/>
      <c r="L61" s="64"/>
      <c r="M61" s="338"/>
      <c r="N61" s="176"/>
      <c r="O61" s="321"/>
      <c r="P61" s="321"/>
      <c r="Q61" s="321"/>
      <c r="R61" s="176"/>
      <c r="S61" s="338"/>
      <c r="T61" s="176"/>
      <c r="U61" s="321"/>
      <c r="V61" s="321"/>
      <c r="W61" s="321"/>
      <c r="X61" s="176"/>
      <c r="Y61" s="9"/>
      <c r="Z61" s="9"/>
      <c r="AA61" s="9"/>
      <c r="AB61" s="9"/>
      <c r="AC61" s="9"/>
      <c r="AD61" s="9"/>
    </row>
    <row r="62" spans="2:30" x14ac:dyDescent="0.2">
      <c r="B62" s="11">
        <v>14</v>
      </c>
      <c r="C62" s="319"/>
      <c r="D62" s="13">
        <v>0.68</v>
      </c>
      <c r="E62" s="13">
        <v>0.62</v>
      </c>
      <c r="F62" s="64"/>
      <c r="G62" s="9"/>
      <c r="H62" s="42"/>
      <c r="I62" s="42"/>
      <c r="J62" s="42"/>
      <c r="K62" s="42"/>
      <c r="L62" s="64"/>
      <c r="M62" s="446"/>
      <c r="N62" s="176"/>
      <c r="O62" s="42"/>
      <c r="P62" s="42"/>
      <c r="Q62" s="42"/>
      <c r="R62" s="176"/>
      <c r="S62" s="338"/>
      <c r="T62" s="176"/>
      <c r="U62" s="321"/>
      <c r="V62" s="321"/>
      <c r="W62" s="321"/>
      <c r="X62" s="176"/>
      <c r="Y62" s="9"/>
      <c r="Z62" s="9"/>
      <c r="AA62" s="9"/>
      <c r="AB62" s="9"/>
      <c r="AC62" s="9"/>
      <c r="AD62" s="9"/>
    </row>
    <row r="63" spans="2:30" x14ac:dyDescent="0.2">
      <c r="B63" s="11">
        <v>15</v>
      </c>
      <c r="C63" s="319"/>
      <c r="D63" s="13">
        <v>0.76</v>
      </c>
      <c r="E63" s="13">
        <v>0.54</v>
      </c>
      <c r="F63" s="64"/>
      <c r="G63" s="9"/>
      <c r="H63" s="42"/>
      <c r="I63" s="42"/>
      <c r="J63" s="42"/>
      <c r="K63" s="42"/>
      <c r="L63" s="64"/>
      <c r="M63" s="447"/>
      <c r="N63" s="176"/>
      <c r="O63" s="42"/>
      <c r="P63" s="42"/>
      <c r="Q63" s="42"/>
      <c r="R63" s="176"/>
      <c r="S63" s="338"/>
      <c r="T63" s="176"/>
      <c r="U63" s="321"/>
      <c r="V63" s="321"/>
      <c r="W63" s="176"/>
      <c r="X63" s="176"/>
      <c r="Y63" s="9"/>
      <c r="Z63" s="9"/>
      <c r="AA63" s="9"/>
      <c r="AB63" s="9"/>
      <c r="AC63" s="9"/>
      <c r="AD63" s="9"/>
    </row>
    <row r="64" spans="2:30" x14ac:dyDescent="0.2">
      <c r="B64" s="11">
        <v>16</v>
      </c>
      <c r="C64" s="322"/>
      <c r="D64" s="13">
        <v>0.56999999999999995</v>
      </c>
      <c r="E64" s="13">
        <v>0.44</v>
      </c>
      <c r="F64" s="64"/>
      <c r="G64" s="9"/>
      <c r="H64" s="42"/>
      <c r="I64" s="42"/>
      <c r="J64" s="42"/>
      <c r="K64" s="42"/>
      <c r="L64" s="64"/>
      <c r="M64" s="447"/>
      <c r="N64" s="176"/>
      <c r="O64" s="42"/>
      <c r="P64" s="42"/>
      <c r="Q64" s="42"/>
      <c r="R64" s="176"/>
      <c r="S64" s="338"/>
      <c r="T64" s="176"/>
      <c r="U64" s="321"/>
      <c r="V64" s="321"/>
      <c r="W64" s="176"/>
      <c r="X64" s="176"/>
      <c r="Y64" s="9"/>
      <c r="Z64" s="9"/>
      <c r="AA64" s="9"/>
      <c r="AB64" s="9"/>
      <c r="AC64" s="9"/>
      <c r="AD64" s="9"/>
    </row>
    <row r="65" spans="2:30" x14ac:dyDescent="0.2">
      <c r="B65" s="69" t="s">
        <v>51</v>
      </c>
      <c r="C65" s="13">
        <f>AVERAGE(C49:C64)</f>
        <v>0.39875496210754241</v>
      </c>
      <c r="D65" s="13">
        <f t="shared" ref="D65:E65" si="7">AVERAGE(D49:D64)</f>
        <v>0.4975</v>
      </c>
      <c r="E65" s="13">
        <f t="shared" si="7"/>
        <v>0.34285555978170762</v>
      </c>
      <c r="F65" s="21"/>
      <c r="G65" s="9"/>
      <c r="H65" s="42"/>
      <c r="I65" s="42"/>
      <c r="J65" s="42"/>
      <c r="K65" s="42"/>
      <c r="L65" s="64"/>
      <c r="M65" s="447"/>
      <c r="N65" s="176"/>
      <c r="O65" s="42"/>
      <c r="P65" s="42"/>
      <c r="Q65" s="42"/>
      <c r="R65" s="176"/>
      <c r="S65" s="338"/>
      <c r="T65" s="176"/>
      <c r="U65" s="321"/>
      <c r="V65" s="321"/>
      <c r="W65" s="176"/>
      <c r="X65" s="64"/>
      <c r="Y65" s="9"/>
      <c r="Z65" s="9"/>
      <c r="AA65" s="9"/>
      <c r="AB65" s="9"/>
      <c r="AC65" s="9"/>
      <c r="AD65" s="9"/>
    </row>
    <row r="66" spans="2:30" x14ac:dyDescent="0.2">
      <c r="B66" s="9"/>
      <c r="C66" s="9"/>
      <c r="D66" s="9"/>
      <c r="E66" s="9"/>
      <c r="F66" s="21"/>
      <c r="G66" s="9"/>
      <c r="H66" s="42"/>
      <c r="I66" s="42"/>
      <c r="J66" s="42"/>
      <c r="K66" s="42"/>
      <c r="L66" s="64"/>
      <c r="M66" s="447"/>
      <c r="N66" s="176"/>
      <c r="O66" s="42"/>
      <c r="P66" s="42"/>
      <c r="Q66" s="42"/>
      <c r="R66" s="176"/>
      <c r="S66" s="338"/>
      <c r="T66" s="176"/>
      <c r="U66" s="321"/>
      <c r="V66" s="321"/>
      <c r="W66" s="176"/>
      <c r="X66" s="21"/>
      <c r="Y66" s="9"/>
      <c r="Z66" s="9"/>
      <c r="AA66" s="9"/>
      <c r="AB66" s="9"/>
      <c r="AC66" s="9"/>
      <c r="AD66" s="9"/>
    </row>
    <row r="67" spans="2:30" x14ac:dyDescent="0.2">
      <c r="B67" s="9"/>
      <c r="C67" s="52"/>
      <c r="D67" s="9"/>
      <c r="E67" s="137"/>
      <c r="F67" s="325"/>
      <c r="G67" s="9"/>
      <c r="H67" s="42"/>
      <c r="I67" s="42"/>
      <c r="J67" s="42"/>
      <c r="K67" s="42"/>
      <c r="L67" s="64"/>
      <c r="M67" s="447"/>
      <c r="N67" s="176"/>
      <c r="O67" s="42"/>
      <c r="P67" s="42"/>
      <c r="Q67" s="42"/>
      <c r="R67" s="176"/>
      <c r="S67" s="338"/>
      <c r="T67" s="176"/>
      <c r="U67" s="321"/>
      <c r="V67" s="176"/>
      <c r="W67" s="176"/>
      <c r="X67" s="21"/>
      <c r="Y67" s="9"/>
      <c r="Z67" s="9"/>
      <c r="AA67" s="9"/>
      <c r="AB67" s="9"/>
      <c r="AC67" s="9"/>
      <c r="AD67" s="9"/>
    </row>
    <row r="68" spans="2:30" x14ac:dyDescent="0.2">
      <c r="B68" s="175" t="s">
        <v>959</v>
      </c>
      <c r="C68" s="316" t="s">
        <v>298</v>
      </c>
      <c r="D68" s="316" t="s">
        <v>943</v>
      </c>
      <c r="E68" s="316" t="s">
        <v>944</v>
      </c>
      <c r="F68" s="321"/>
      <c r="G68" s="9"/>
      <c r="H68" s="42"/>
      <c r="I68" s="42"/>
      <c r="J68" s="42"/>
      <c r="K68" s="42"/>
      <c r="L68" s="64"/>
      <c r="M68" s="448"/>
      <c r="N68" s="21"/>
      <c r="O68" s="42"/>
      <c r="P68" s="42"/>
      <c r="Q68" s="42"/>
      <c r="R68" s="64"/>
      <c r="S68" s="42"/>
      <c r="T68" s="21"/>
      <c r="U68" s="64"/>
      <c r="V68" s="64"/>
      <c r="W68" s="64"/>
      <c r="X68" s="21"/>
      <c r="Y68" s="9"/>
      <c r="Z68" s="9"/>
      <c r="AA68" s="9"/>
      <c r="AB68" s="9"/>
      <c r="AC68" s="9"/>
      <c r="AD68" s="9"/>
    </row>
    <row r="69" spans="2:30" x14ac:dyDescent="0.2">
      <c r="B69" s="444" t="s">
        <v>957</v>
      </c>
      <c r="C69" s="318" t="s">
        <v>990</v>
      </c>
      <c r="D69" s="318" t="s">
        <v>990</v>
      </c>
      <c r="E69" s="318" t="s">
        <v>990</v>
      </c>
      <c r="F69" s="321"/>
      <c r="G69" s="9"/>
      <c r="H69" s="42"/>
      <c r="I69" s="42"/>
      <c r="J69" s="42"/>
      <c r="K69" s="137"/>
      <c r="L69" s="21"/>
      <c r="M69" s="448"/>
      <c r="N69" s="64"/>
      <c r="O69" s="42"/>
      <c r="P69" s="42"/>
      <c r="Q69" s="42"/>
      <c r="R69" s="21"/>
      <c r="S69" s="42"/>
      <c r="T69" s="64"/>
      <c r="U69" s="21"/>
      <c r="V69" s="21"/>
      <c r="W69" s="21"/>
      <c r="X69" s="325"/>
      <c r="Y69" s="9"/>
      <c r="Z69" s="9"/>
      <c r="AA69" s="9"/>
      <c r="AB69" s="9"/>
      <c r="AC69" s="9"/>
      <c r="AD69" s="9"/>
    </row>
    <row r="70" spans="2:30" x14ac:dyDescent="0.2">
      <c r="B70" s="11">
        <v>1</v>
      </c>
      <c r="C70" s="13">
        <v>0.7975460122699386</v>
      </c>
      <c r="D70" s="13">
        <v>0.55000000000000004</v>
      </c>
      <c r="E70" s="13">
        <v>0.23446658851113722</v>
      </c>
      <c r="F70" s="321"/>
      <c r="G70" s="320"/>
      <c r="H70" s="42"/>
      <c r="I70" s="42"/>
      <c r="J70" s="42"/>
      <c r="K70" s="42"/>
      <c r="L70" s="64"/>
      <c r="M70" s="448"/>
      <c r="N70" s="64"/>
      <c r="O70" s="42"/>
      <c r="P70" s="42"/>
      <c r="Q70" s="42"/>
      <c r="R70" s="21"/>
      <c r="S70" s="42"/>
      <c r="T70" s="64"/>
      <c r="U70" s="21"/>
      <c r="V70" s="64"/>
      <c r="W70" s="21"/>
      <c r="X70" s="321"/>
      <c r="Y70" s="9"/>
      <c r="Z70" s="9"/>
      <c r="AA70" s="9"/>
      <c r="AB70" s="9"/>
      <c r="AC70" s="9"/>
      <c r="AD70" s="9"/>
    </row>
    <row r="71" spans="2:30" x14ac:dyDescent="0.2">
      <c r="B71" s="11">
        <v>2</v>
      </c>
      <c r="C71" s="13">
        <v>0.76687116564417168</v>
      </c>
      <c r="D71" s="13">
        <v>0.55000000000000004</v>
      </c>
      <c r="E71" s="13">
        <v>0.24618991793669409</v>
      </c>
      <c r="F71" s="321"/>
      <c r="G71" s="320"/>
      <c r="H71" s="42"/>
      <c r="I71" s="42"/>
      <c r="J71" s="42"/>
      <c r="K71" s="42"/>
      <c r="L71" s="64"/>
      <c r="M71" s="42"/>
      <c r="N71" s="143"/>
      <c r="O71" s="21"/>
      <c r="P71" s="21"/>
      <c r="Q71" s="21"/>
      <c r="R71" s="21"/>
      <c r="S71" s="42"/>
      <c r="T71" s="143"/>
      <c r="U71" s="21"/>
      <c r="V71" s="21"/>
      <c r="W71" s="21"/>
      <c r="X71" s="321"/>
      <c r="Y71" s="9"/>
      <c r="Z71" s="9"/>
      <c r="AA71" s="9"/>
      <c r="AB71" s="9"/>
      <c r="AC71" s="9"/>
      <c r="AD71" s="9"/>
    </row>
    <row r="72" spans="2:30" x14ac:dyDescent="0.2">
      <c r="B72" s="11">
        <v>3</v>
      </c>
      <c r="C72" s="13">
        <v>0.55000000000000004</v>
      </c>
      <c r="D72" s="13">
        <v>0.23</v>
      </c>
      <c r="E72" s="13">
        <v>0.12</v>
      </c>
      <c r="F72" s="321"/>
      <c r="G72" s="320"/>
      <c r="H72" s="42"/>
      <c r="I72" s="42"/>
      <c r="J72" s="42"/>
      <c r="K72" s="42"/>
      <c r="L72" s="64"/>
      <c r="M72" s="42"/>
      <c r="N72" s="64"/>
      <c r="O72" s="325"/>
      <c r="P72" s="325"/>
      <c r="Q72" s="325"/>
      <c r="R72" s="325"/>
      <c r="S72" s="42"/>
      <c r="T72" s="64"/>
      <c r="U72" s="325"/>
      <c r="V72" s="325"/>
      <c r="W72" s="325"/>
      <c r="X72" s="176"/>
      <c r="Y72" s="9"/>
      <c r="Z72" s="9"/>
      <c r="AA72" s="9"/>
      <c r="AB72" s="9"/>
      <c r="AC72" s="9"/>
      <c r="AD72" s="9"/>
    </row>
    <row r="73" spans="2:30" x14ac:dyDescent="0.2">
      <c r="B73" s="11">
        <v>4</v>
      </c>
      <c r="C73" s="13">
        <v>0.73619631901840477</v>
      </c>
      <c r="D73" s="13">
        <v>0.47000000000000008</v>
      </c>
      <c r="E73" s="13">
        <v>0.28135990621336471</v>
      </c>
      <c r="F73" s="321"/>
      <c r="G73" s="320"/>
      <c r="H73" s="42"/>
      <c r="I73" s="42"/>
      <c r="J73" s="42"/>
      <c r="K73" s="42"/>
      <c r="L73" s="64"/>
      <c r="M73" s="447"/>
      <c r="N73" s="176"/>
      <c r="O73" s="321"/>
      <c r="P73" s="321"/>
      <c r="Q73" s="321"/>
      <c r="R73" s="321"/>
      <c r="S73" s="338"/>
      <c r="T73" s="176"/>
      <c r="U73" s="321"/>
      <c r="V73" s="321"/>
      <c r="W73" s="321"/>
      <c r="X73" s="176"/>
      <c r="Y73" s="9"/>
      <c r="Z73" s="9"/>
      <c r="AA73" s="9"/>
      <c r="AB73" s="9"/>
      <c r="AC73" s="9"/>
      <c r="AD73" s="9"/>
    </row>
    <row r="74" spans="2:30" x14ac:dyDescent="0.2">
      <c r="B74" s="11">
        <v>5</v>
      </c>
      <c r="C74" s="13">
        <v>0.55000000000000004</v>
      </c>
      <c r="D74" s="13">
        <v>0.46000000000000008</v>
      </c>
      <c r="E74" s="13">
        <v>0.1992966002344666</v>
      </c>
      <c r="F74" s="321"/>
      <c r="G74" s="320"/>
      <c r="H74" s="42"/>
      <c r="I74" s="42"/>
      <c r="J74" s="42"/>
      <c r="K74" s="42"/>
      <c r="L74" s="64"/>
      <c r="M74" s="338"/>
      <c r="N74" s="176"/>
      <c r="O74" s="321"/>
      <c r="P74" s="321"/>
      <c r="Q74" s="321"/>
      <c r="R74" s="321"/>
      <c r="S74" s="338"/>
      <c r="T74" s="176"/>
      <c r="U74" s="321"/>
      <c r="V74" s="321"/>
      <c r="W74" s="321"/>
      <c r="X74" s="176"/>
      <c r="Y74" s="9"/>
      <c r="Z74" s="9"/>
      <c r="AA74" s="9"/>
      <c r="AB74" s="9"/>
      <c r="AC74" s="9"/>
      <c r="AD74" s="9"/>
    </row>
    <row r="75" spans="2:30" x14ac:dyDescent="0.2">
      <c r="B75" s="11">
        <v>6</v>
      </c>
      <c r="C75" s="13">
        <v>0.7361963190184051</v>
      </c>
      <c r="D75" s="13">
        <v>0.50000000000000011</v>
      </c>
      <c r="E75" s="13">
        <v>0.28135990621336471</v>
      </c>
      <c r="F75" s="321"/>
      <c r="G75" s="320"/>
      <c r="H75" s="42"/>
      <c r="I75" s="42"/>
      <c r="J75" s="42"/>
      <c r="K75" s="42"/>
      <c r="L75" s="64"/>
      <c r="M75" s="338"/>
      <c r="N75" s="176"/>
      <c r="O75" s="321"/>
      <c r="P75" s="321"/>
      <c r="Q75" s="321"/>
      <c r="R75" s="321"/>
      <c r="S75" s="338"/>
      <c r="T75" s="176"/>
      <c r="U75" s="321"/>
      <c r="V75" s="321"/>
      <c r="W75" s="321"/>
      <c r="X75" s="176"/>
      <c r="Y75" s="9"/>
      <c r="Z75" s="9"/>
      <c r="AA75" s="9"/>
      <c r="AB75" s="9"/>
      <c r="AC75" s="9"/>
      <c r="AD75" s="9"/>
    </row>
    <row r="76" spans="2:30" x14ac:dyDescent="0.2">
      <c r="B76" s="11">
        <v>7</v>
      </c>
      <c r="C76" s="404">
        <v>0.87</v>
      </c>
      <c r="D76" s="404">
        <v>0.72</v>
      </c>
      <c r="E76" s="105">
        <v>0.55000000000000004</v>
      </c>
      <c r="F76" s="321"/>
      <c r="G76" s="320"/>
      <c r="H76" s="42"/>
      <c r="I76" s="42"/>
      <c r="J76" s="42"/>
      <c r="K76" s="42"/>
      <c r="L76" s="64"/>
      <c r="M76" s="338"/>
      <c r="N76" s="176"/>
      <c r="O76" s="321"/>
      <c r="P76" s="321"/>
      <c r="Q76" s="321"/>
      <c r="R76" s="321"/>
      <c r="S76" s="338"/>
      <c r="T76" s="176"/>
      <c r="U76" s="321"/>
      <c r="V76" s="321"/>
      <c r="W76" s="176"/>
      <c r="X76" s="176"/>
      <c r="Y76" s="9"/>
      <c r="Z76" s="9"/>
      <c r="AA76" s="9"/>
      <c r="AB76" s="9"/>
      <c r="AC76" s="9"/>
      <c r="AD76" s="9"/>
    </row>
    <row r="77" spans="2:30" x14ac:dyDescent="0.2">
      <c r="B77" s="11">
        <v>8</v>
      </c>
      <c r="C77" s="13">
        <v>0.70552147239263829</v>
      </c>
      <c r="D77" s="13">
        <v>0.51000000000000012</v>
      </c>
      <c r="E77" s="13">
        <v>0.12895662368112548</v>
      </c>
      <c r="F77" s="321"/>
      <c r="G77" s="320"/>
      <c r="H77" s="42"/>
      <c r="I77" s="42"/>
      <c r="J77" s="42"/>
      <c r="K77" s="42"/>
      <c r="L77" s="64"/>
      <c r="M77" s="338"/>
      <c r="N77" s="176"/>
      <c r="O77" s="321"/>
      <c r="P77" s="321"/>
      <c r="Q77" s="321"/>
      <c r="R77" s="176"/>
      <c r="S77" s="338"/>
      <c r="T77" s="176"/>
      <c r="U77" s="321"/>
      <c r="V77" s="321"/>
      <c r="W77" s="176"/>
      <c r="X77" s="176"/>
      <c r="Y77" s="9"/>
      <c r="Z77" s="9"/>
      <c r="AA77" s="9"/>
      <c r="AB77" s="9"/>
      <c r="AC77" s="9"/>
      <c r="AD77" s="9"/>
    </row>
    <row r="78" spans="2:30" x14ac:dyDescent="0.2">
      <c r="B78" s="11">
        <v>9</v>
      </c>
      <c r="C78" s="13">
        <v>0.89</v>
      </c>
      <c r="D78" s="13">
        <v>0.52000000000000013</v>
      </c>
      <c r="E78" s="13">
        <v>0.23446658851113722</v>
      </c>
      <c r="F78" s="321"/>
      <c r="G78" s="320"/>
      <c r="H78" s="337"/>
      <c r="I78" s="42"/>
      <c r="J78" s="42"/>
      <c r="K78" s="42"/>
      <c r="L78" s="176"/>
      <c r="M78" s="42"/>
      <c r="N78" s="42"/>
      <c r="O78" s="321"/>
      <c r="P78" s="321"/>
      <c r="Q78" s="321"/>
      <c r="R78" s="176"/>
      <c r="S78" s="338"/>
      <c r="T78" s="176"/>
      <c r="U78" s="321"/>
      <c r="V78" s="321"/>
      <c r="W78" s="176"/>
      <c r="X78" s="176"/>
      <c r="Y78" s="9"/>
      <c r="Z78" s="9"/>
      <c r="AA78" s="9"/>
      <c r="AB78" s="9"/>
      <c r="AC78" s="9"/>
      <c r="AD78" s="9"/>
    </row>
    <row r="79" spans="2:30" x14ac:dyDescent="0.2">
      <c r="B79" s="11">
        <v>10</v>
      </c>
      <c r="C79" s="13">
        <v>0.86</v>
      </c>
      <c r="D79" s="13">
        <v>0.48000000000000009</v>
      </c>
      <c r="E79" s="13">
        <v>0.22274325908558035</v>
      </c>
      <c r="F79" s="321"/>
      <c r="G79" s="320"/>
      <c r="H79" s="321"/>
      <c r="I79" s="42"/>
      <c r="J79" s="42"/>
      <c r="K79" s="42"/>
      <c r="L79" s="42"/>
      <c r="M79" s="42"/>
      <c r="N79" s="42"/>
      <c r="O79" s="321"/>
      <c r="P79" s="321"/>
      <c r="Q79" s="321"/>
      <c r="R79" s="176"/>
      <c r="S79" s="338"/>
      <c r="T79" s="176"/>
      <c r="U79" s="321"/>
      <c r="V79" s="321"/>
      <c r="W79" s="176"/>
      <c r="X79" s="176"/>
      <c r="Y79" s="9"/>
      <c r="Z79" s="9"/>
      <c r="AA79" s="9"/>
      <c r="AB79" s="9"/>
      <c r="AC79" s="9"/>
      <c r="AD79" s="9"/>
    </row>
    <row r="80" spans="2:30" x14ac:dyDescent="0.2">
      <c r="B80" s="11">
        <v>11</v>
      </c>
      <c r="C80" s="404">
        <v>0.43</v>
      </c>
      <c r="D80" s="404">
        <v>0.42000000000000004</v>
      </c>
      <c r="E80" s="105">
        <v>0.38686987104337633</v>
      </c>
      <c r="F80" s="64"/>
      <c r="G80" s="9"/>
      <c r="H80" s="42"/>
      <c r="I80" s="42"/>
      <c r="J80" s="42"/>
      <c r="K80" s="42"/>
      <c r="L80" s="42"/>
      <c r="M80" s="42"/>
      <c r="N80" s="42"/>
      <c r="O80" s="321"/>
      <c r="P80" s="321"/>
      <c r="Q80" s="176"/>
      <c r="R80" s="176"/>
      <c r="S80" s="338"/>
      <c r="T80" s="176"/>
      <c r="U80" s="321"/>
      <c r="V80" s="321"/>
      <c r="W80" s="176"/>
      <c r="X80" s="64"/>
      <c r="Y80" s="9"/>
      <c r="Z80" s="9"/>
      <c r="AA80" s="9"/>
      <c r="AB80" s="9"/>
      <c r="AC80" s="9"/>
      <c r="AD80" s="9"/>
    </row>
    <row r="81" spans="2:30" x14ac:dyDescent="0.2">
      <c r="B81" s="11">
        <v>12</v>
      </c>
      <c r="C81" s="404">
        <v>0.76</v>
      </c>
      <c r="D81" s="404">
        <v>0.37</v>
      </c>
      <c r="E81" s="105">
        <v>0.12</v>
      </c>
      <c r="F81" s="64"/>
      <c r="G81" s="9"/>
      <c r="H81" s="42"/>
      <c r="I81" s="42"/>
      <c r="J81" s="42"/>
      <c r="K81" s="42"/>
      <c r="L81" s="42"/>
      <c r="M81" s="42"/>
      <c r="N81" s="42"/>
      <c r="O81" s="321"/>
      <c r="P81" s="321"/>
      <c r="Q81" s="176"/>
      <c r="R81" s="176"/>
      <c r="S81" s="338"/>
      <c r="T81" s="176"/>
      <c r="U81" s="321"/>
      <c r="V81" s="321"/>
      <c r="W81" s="176"/>
      <c r="X81" s="21"/>
      <c r="Y81" s="9"/>
      <c r="Z81" s="9"/>
      <c r="AA81" s="9"/>
      <c r="AB81" s="9"/>
      <c r="AC81" s="9"/>
      <c r="AD81" s="9"/>
    </row>
    <row r="82" spans="2:30" x14ac:dyDescent="0.2">
      <c r="B82" s="69" t="s">
        <v>51</v>
      </c>
      <c r="C82" s="13">
        <f>AVERAGE(C70:C81)</f>
        <v>0.72102760736196325</v>
      </c>
      <c r="D82" s="13">
        <f t="shared" ref="D82:E82" si="8">AVERAGE(D70:D81)</f>
        <v>0.48166666666666674</v>
      </c>
      <c r="E82" s="13">
        <f t="shared" si="8"/>
        <v>0.2504757717858539</v>
      </c>
      <c r="F82" s="64"/>
      <c r="G82" s="9"/>
      <c r="H82" s="42"/>
      <c r="I82" s="42"/>
      <c r="J82" s="42"/>
      <c r="K82" s="42"/>
      <c r="L82" s="42"/>
      <c r="M82" s="42"/>
      <c r="N82" s="42"/>
      <c r="O82" s="321"/>
      <c r="P82" s="321"/>
      <c r="Q82" s="176"/>
      <c r="R82" s="176"/>
      <c r="S82" s="338"/>
      <c r="T82" s="176"/>
      <c r="U82" s="321"/>
      <c r="V82" s="176"/>
      <c r="W82" s="176"/>
      <c r="X82" s="64"/>
      <c r="Y82" s="9"/>
      <c r="Z82" s="9"/>
      <c r="AA82" s="9"/>
      <c r="AB82" s="9"/>
      <c r="AC82" s="9"/>
      <c r="AD82" s="9"/>
    </row>
    <row r="83" spans="2:30" x14ac:dyDescent="0.2">
      <c r="B83" s="9"/>
      <c r="C83" s="9"/>
      <c r="D83" s="9"/>
      <c r="E83" s="9"/>
      <c r="F83" s="21"/>
      <c r="G83" s="9"/>
      <c r="H83" s="42"/>
      <c r="I83" s="42"/>
      <c r="J83" s="42"/>
      <c r="K83" s="42"/>
      <c r="L83" s="64"/>
      <c r="M83" s="42"/>
      <c r="N83" s="21"/>
      <c r="O83" s="64"/>
      <c r="P83" s="64"/>
      <c r="Q83" s="64"/>
      <c r="R83" s="64"/>
      <c r="S83" s="42"/>
      <c r="T83" s="21"/>
      <c r="U83" s="64"/>
      <c r="V83" s="64"/>
      <c r="W83" s="64"/>
      <c r="X83" s="64"/>
      <c r="Y83" s="9"/>
      <c r="Z83" s="9"/>
      <c r="AA83" s="9"/>
      <c r="AB83" s="9"/>
      <c r="AC83" s="9"/>
      <c r="AD83" s="9"/>
    </row>
    <row r="84" spans="2:30" x14ac:dyDescent="0.2">
      <c r="B84" s="9"/>
      <c r="C84" s="9"/>
      <c r="D84" s="9"/>
      <c r="E84" s="9"/>
      <c r="F84" s="21"/>
      <c r="G84" s="64"/>
      <c r="H84" s="42"/>
      <c r="I84" s="42"/>
      <c r="J84" s="42"/>
      <c r="K84" s="42"/>
      <c r="L84" s="64"/>
      <c r="M84" s="42"/>
      <c r="N84" s="64"/>
      <c r="O84" s="21"/>
      <c r="P84" s="21"/>
      <c r="Q84" s="21"/>
      <c r="R84" s="21"/>
      <c r="S84" s="42"/>
      <c r="T84" s="64"/>
      <c r="U84" s="21"/>
      <c r="V84" s="21"/>
      <c r="W84" s="21"/>
      <c r="X84" s="64"/>
      <c r="Y84" s="9"/>
      <c r="Z84" s="9"/>
      <c r="AA84" s="9"/>
      <c r="AB84" s="9"/>
      <c r="AC84" s="9"/>
      <c r="AD84" s="9"/>
    </row>
    <row r="85" spans="2:30" x14ac:dyDescent="0.2">
      <c r="B85" s="9"/>
      <c r="C85" s="52"/>
      <c r="D85" s="9"/>
      <c r="E85" s="137"/>
      <c r="F85" s="325"/>
      <c r="G85" s="64"/>
      <c r="H85" s="42"/>
      <c r="I85" s="42"/>
      <c r="J85" s="42"/>
      <c r="K85" s="42"/>
      <c r="L85" s="64"/>
      <c r="M85" s="42"/>
      <c r="N85" s="21"/>
      <c r="O85" s="64"/>
      <c r="P85" s="64"/>
      <c r="Q85" s="64"/>
      <c r="R85" s="64"/>
      <c r="S85" s="42"/>
      <c r="T85" s="21"/>
      <c r="U85" s="64"/>
      <c r="V85" s="64"/>
      <c r="W85" s="64"/>
      <c r="X85" s="64"/>
      <c r="Y85" s="9"/>
      <c r="Z85" s="9"/>
      <c r="AA85" s="9"/>
      <c r="AB85" s="9"/>
      <c r="AC85" s="9"/>
      <c r="AD85" s="9"/>
    </row>
    <row r="86" spans="2:30" x14ac:dyDescent="0.2">
      <c r="B86" s="175" t="s">
        <v>960</v>
      </c>
      <c r="C86" s="316" t="s">
        <v>298</v>
      </c>
      <c r="D86" s="316" t="s">
        <v>943</v>
      </c>
      <c r="E86" s="316" t="s">
        <v>944</v>
      </c>
      <c r="F86" s="321"/>
      <c r="G86" s="64"/>
      <c r="H86" s="337"/>
      <c r="I86" s="42"/>
      <c r="J86" s="42"/>
      <c r="K86" s="42"/>
      <c r="L86" s="176"/>
      <c r="M86" s="42"/>
      <c r="N86" s="42"/>
      <c r="O86" s="42"/>
      <c r="P86" s="42"/>
      <c r="Q86" s="42"/>
      <c r="R86" s="64"/>
      <c r="S86" s="42"/>
      <c r="T86" s="64"/>
      <c r="U86" s="64"/>
      <c r="V86" s="64"/>
      <c r="W86" s="64"/>
      <c r="X86" s="64"/>
      <c r="Y86" s="9"/>
      <c r="Z86" s="9"/>
      <c r="AA86" s="9"/>
      <c r="AB86" s="9"/>
      <c r="AC86" s="9"/>
      <c r="AD86" s="9"/>
    </row>
    <row r="87" spans="2:30" x14ac:dyDescent="0.2">
      <c r="B87" s="444" t="s">
        <v>957</v>
      </c>
      <c r="C87" s="318" t="s">
        <v>990</v>
      </c>
      <c r="D87" s="318" t="s">
        <v>990</v>
      </c>
      <c r="E87" s="318" t="s">
        <v>990</v>
      </c>
      <c r="F87" s="321"/>
      <c r="G87" s="64"/>
      <c r="H87" s="321"/>
      <c r="I87" s="42"/>
      <c r="J87" s="42"/>
      <c r="K87" s="64"/>
      <c r="L87" s="42"/>
      <c r="M87" s="42"/>
      <c r="N87" s="42"/>
      <c r="O87" s="42"/>
      <c r="P87" s="42"/>
      <c r="Q87" s="42"/>
      <c r="R87" s="64"/>
      <c r="S87" s="42"/>
      <c r="T87" s="64"/>
      <c r="U87" s="64"/>
      <c r="V87" s="64"/>
      <c r="W87" s="64"/>
      <c r="X87" s="106"/>
      <c r="Y87" s="9"/>
      <c r="Z87" s="9"/>
      <c r="AA87" s="9"/>
      <c r="AB87" s="9"/>
      <c r="AC87" s="9"/>
      <c r="AD87" s="9"/>
    </row>
    <row r="88" spans="2:30" x14ac:dyDescent="0.2">
      <c r="B88" s="11">
        <v>1</v>
      </c>
      <c r="C88" s="17">
        <v>0.57999999999999996</v>
      </c>
      <c r="D88" s="13">
        <v>0.57999999999999996</v>
      </c>
      <c r="E88" s="13">
        <v>0.48</v>
      </c>
      <c r="F88" s="321"/>
      <c r="G88" s="64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64"/>
      <c r="S88" s="42"/>
      <c r="T88" s="64"/>
      <c r="U88" s="64"/>
      <c r="V88" s="64"/>
      <c r="W88" s="64"/>
      <c r="X88" s="64"/>
      <c r="Y88" s="9"/>
      <c r="Z88" s="9"/>
      <c r="AA88" s="9"/>
      <c r="AB88" s="9"/>
      <c r="AC88" s="9"/>
      <c r="AD88" s="9"/>
    </row>
    <row r="89" spans="2:30" x14ac:dyDescent="0.2">
      <c r="B89" s="11">
        <v>2</v>
      </c>
      <c r="C89" s="17">
        <v>0.55000000000000004</v>
      </c>
      <c r="D89" s="13">
        <v>0.63</v>
      </c>
      <c r="E89" s="13">
        <v>0.48</v>
      </c>
      <c r="F89" s="321"/>
      <c r="G89" s="64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64"/>
      <c r="S89" s="64"/>
      <c r="T89" s="64"/>
      <c r="U89" s="64"/>
      <c r="V89" s="64"/>
      <c r="W89" s="64"/>
      <c r="X89" s="106"/>
      <c r="Y89" s="9"/>
      <c r="Z89" s="9"/>
      <c r="AA89" s="9"/>
      <c r="AB89" s="9"/>
      <c r="AC89" s="9"/>
      <c r="AD89" s="9"/>
    </row>
    <row r="90" spans="2:30" x14ac:dyDescent="0.2">
      <c r="B90" s="11">
        <v>3</v>
      </c>
      <c r="C90" s="17">
        <v>0.61</v>
      </c>
      <c r="D90" s="13">
        <v>0.62</v>
      </c>
      <c r="E90" s="13">
        <v>0.68</v>
      </c>
      <c r="F90" s="321"/>
      <c r="G90" s="64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106"/>
      <c r="S90" s="106"/>
      <c r="T90" s="64"/>
      <c r="U90" s="106"/>
      <c r="V90" s="106"/>
      <c r="W90" s="106"/>
      <c r="X90" s="106"/>
      <c r="Y90" s="9"/>
      <c r="Z90" s="9"/>
      <c r="AA90" s="9"/>
      <c r="AB90" s="9"/>
      <c r="AC90" s="9"/>
      <c r="AD90" s="9"/>
    </row>
    <row r="91" spans="2:30" x14ac:dyDescent="0.2">
      <c r="B91" s="11">
        <v>4</v>
      </c>
      <c r="C91" s="17">
        <v>0.42</v>
      </c>
      <c r="D91" s="13">
        <v>0.71</v>
      </c>
      <c r="E91" s="13">
        <v>0.55000000000000004</v>
      </c>
      <c r="F91" s="321"/>
      <c r="G91" s="64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64"/>
      <c r="S91" s="64"/>
      <c r="T91" s="64"/>
      <c r="U91" s="64"/>
      <c r="V91" s="64"/>
      <c r="W91" s="64"/>
      <c r="X91" s="64"/>
      <c r="Y91" s="9"/>
      <c r="Z91" s="9"/>
      <c r="AA91" s="9"/>
      <c r="AB91" s="9"/>
      <c r="AC91" s="9"/>
      <c r="AD91" s="9"/>
    </row>
    <row r="92" spans="2:30" x14ac:dyDescent="0.2">
      <c r="B92" s="11">
        <v>5</v>
      </c>
      <c r="C92" s="17">
        <v>0.48</v>
      </c>
      <c r="D92" s="13">
        <v>0.65</v>
      </c>
      <c r="E92" s="13">
        <v>0.67</v>
      </c>
      <c r="F92" s="321"/>
      <c r="G92" s="64"/>
      <c r="H92" s="321"/>
      <c r="I92" s="321"/>
      <c r="J92" s="321"/>
      <c r="K92" s="321"/>
      <c r="L92" s="64"/>
      <c r="M92" s="42"/>
      <c r="N92" s="64"/>
      <c r="O92" s="64"/>
      <c r="P92" s="64"/>
      <c r="Q92" s="64"/>
      <c r="R92" s="106"/>
      <c r="S92" s="64"/>
      <c r="T92" s="64"/>
      <c r="U92" s="106"/>
      <c r="V92" s="106"/>
      <c r="W92" s="106"/>
      <c r="X92" s="64"/>
      <c r="Y92" s="9"/>
      <c r="Z92" s="9"/>
      <c r="AA92" s="9"/>
      <c r="AB92" s="9"/>
      <c r="AC92" s="9"/>
      <c r="AD92" s="9"/>
    </row>
    <row r="93" spans="2:30" x14ac:dyDescent="0.2">
      <c r="B93" s="11">
        <v>6</v>
      </c>
      <c r="C93" s="17">
        <v>0.52</v>
      </c>
      <c r="D93" s="13">
        <v>0.57999999999999996</v>
      </c>
      <c r="E93" s="13">
        <v>0.55000000000000004</v>
      </c>
      <c r="F93" s="64"/>
      <c r="G93" s="254"/>
      <c r="H93" s="321"/>
      <c r="I93" s="321"/>
      <c r="J93" s="321"/>
      <c r="K93" s="321"/>
      <c r="L93" s="64"/>
      <c r="M93" s="64"/>
      <c r="N93" s="64"/>
      <c r="O93" s="64"/>
      <c r="P93" s="64"/>
      <c r="Q93" s="64"/>
      <c r="R93" s="106"/>
      <c r="S93" s="328"/>
      <c r="T93" s="64"/>
      <c r="U93" s="106"/>
      <c r="V93" s="106"/>
      <c r="W93" s="106"/>
      <c r="X93" s="64"/>
      <c r="Y93" s="9"/>
      <c r="Z93" s="9"/>
      <c r="AA93" s="9"/>
      <c r="AB93" s="9"/>
      <c r="AC93" s="9"/>
      <c r="AD93" s="9"/>
    </row>
    <row r="94" spans="2:30" x14ac:dyDescent="0.2">
      <c r="B94" s="11">
        <v>7</v>
      </c>
      <c r="C94" s="17">
        <v>0.64</v>
      </c>
      <c r="D94" s="13">
        <v>0.54</v>
      </c>
      <c r="E94" s="13">
        <v>0.44</v>
      </c>
      <c r="F94" s="64"/>
      <c r="G94" s="289"/>
      <c r="H94" s="321"/>
      <c r="I94" s="321"/>
      <c r="J94" s="321"/>
      <c r="K94" s="321"/>
      <c r="L94" s="64"/>
      <c r="M94" s="42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9"/>
      <c r="Z94" s="9"/>
      <c r="AA94" s="9"/>
      <c r="AB94" s="9"/>
      <c r="AC94" s="9"/>
      <c r="AD94" s="9"/>
    </row>
    <row r="95" spans="2:30" x14ac:dyDescent="0.2">
      <c r="B95" s="11">
        <v>8</v>
      </c>
      <c r="C95" s="55">
        <v>0.37</v>
      </c>
      <c r="D95" s="105">
        <v>0.31</v>
      </c>
      <c r="E95" s="105">
        <v>0.22</v>
      </c>
      <c r="F95" s="64"/>
      <c r="G95" s="9"/>
      <c r="H95" s="321"/>
      <c r="I95" s="321"/>
      <c r="J95" s="321"/>
      <c r="K95" s="321"/>
      <c r="L95" s="64"/>
      <c r="M95" s="42"/>
      <c r="N95" s="64"/>
      <c r="O95" s="64"/>
      <c r="P95" s="64"/>
      <c r="Q95" s="64"/>
      <c r="R95" s="64"/>
      <c r="S95" s="64"/>
      <c r="T95" s="64"/>
      <c r="U95" s="64"/>
      <c r="V95" s="64"/>
      <c r="W95" s="64"/>
      <c r="X95" s="64"/>
      <c r="Y95" s="9"/>
      <c r="Z95" s="9"/>
      <c r="AA95" s="9"/>
      <c r="AB95" s="9"/>
      <c r="AC95" s="9"/>
      <c r="AD95" s="9"/>
    </row>
    <row r="96" spans="2:30" x14ac:dyDescent="0.2">
      <c r="B96" s="11">
        <v>9</v>
      </c>
      <c r="C96" s="55">
        <v>0.67</v>
      </c>
      <c r="D96" s="105">
        <v>0.54</v>
      </c>
      <c r="E96" s="105">
        <v>0.34</v>
      </c>
      <c r="F96" s="21"/>
      <c r="G96" s="9"/>
      <c r="H96" s="211"/>
      <c r="I96" s="64"/>
      <c r="J96" s="289"/>
      <c r="K96" s="289"/>
      <c r="L96" s="289"/>
      <c r="M96" s="42"/>
      <c r="N96" s="64"/>
      <c r="O96" s="64"/>
      <c r="P96" s="64"/>
      <c r="Q96" s="64"/>
      <c r="R96" s="64"/>
      <c r="S96" s="64"/>
      <c r="T96" s="64"/>
      <c r="U96" s="64"/>
      <c r="V96" s="64"/>
      <c r="W96" s="64"/>
      <c r="X96" s="64"/>
      <c r="Y96" s="9"/>
      <c r="Z96" s="9"/>
      <c r="AA96" s="9"/>
      <c r="AB96" s="9"/>
      <c r="AC96" s="9"/>
      <c r="AD96" s="9"/>
    </row>
    <row r="97" spans="2:30" x14ac:dyDescent="0.2">
      <c r="B97" s="11">
        <v>10</v>
      </c>
      <c r="C97" s="55">
        <v>0.57999999999999996</v>
      </c>
      <c r="D97" s="105">
        <v>0.67</v>
      </c>
      <c r="E97" s="105">
        <v>0.41</v>
      </c>
      <c r="F97" s="21"/>
      <c r="G97" s="9"/>
      <c r="H97" s="42"/>
      <c r="I97" s="42"/>
      <c r="J97" s="42"/>
      <c r="K97" s="42"/>
      <c r="L97" s="64"/>
      <c r="M97" s="42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9"/>
      <c r="Z97" s="9"/>
      <c r="AA97" s="9"/>
      <c r="AB97" s="9"/>
      <c r="AC97" s="9"/>
      <c r="AD97" s="9"/>
    </row>
    <row r="98" spans="2:30" x14ac:dyDescent="0.2">
      <c r="B98" s="11">
        <v>11</v>
      </c>
      <c r="C98" s="55">
        <v>0.52</v>
      </c>
      <c r="D98" s="105">
        <v>0.62</v>
      </c>
      <c r="E98" s="105">
        <v>0.37</v>
      </c>
      <c r="F98" s="325"/>
      <c r="G98" s="9"/>
      <c r="H98" s="42"/>
      <c r="I98" s="42"/>
      <c r="J98" s="42"/>
      <c r="K98" s="42"/>
      <c r="L98" s="64"/>
      <c r="M98" s="42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9"/>
      <c r="Z98" s="9"/>
      <c r="AA98" s="9"/>
      <c r="AB98" s="9"/>
      <c r="AC98" s="9"/>
      <c r="AD98" s="9"/>
    </row>
    <row r="99" spans="2:30" x14ac:dyDescent="0.2">
      <c r="B99" s="11">
        <v>12</v>
      </c>
      <c r="C99" s="55">
        <v>0.55000000000000004</v>
      </c>
      <c r="D99" s="105">
        <v>0.59</v>
      </c>
      <c r="E99" s="105">
        <v>0.38</v>
      </c>
      <c r="F99" s="321"/>
      <c r="G99" s="9"/>
      <c r="H99" s="42"/>
      <c r="I99" s="42"/>
      <c r="J99" s="42"/>
      <c r="K99" s="42"/>
      <c r="L99" s="64"/>
      <c r="M99" s="42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9"/>
      <c r="Z99" s="9"/>
      <c r="AA99" s="9"/>
      <c r="AB99" s="9"/>
      <c r="AC99" s="9"/>
      <c r="AD99" s="9"/>
    </row>
    <row r="100" spans="2:30" x14ac:dyDescent="0.2">
      <c r="B100" s="69" t="s">
        <v>51</v>
      </c>
      <c r="C100" s="13">
        <f>AVERAGE(C88:C99)</f>
        <v>0.54083333333333328</v>
      </c>
      <c r="D100" s="13">
        <f>AVERAGE(D88:D99)</f>
        <v>0.58666666666666667</v>
      </c>
      <c r="E100" s="13">
        <f>AVERAGE(E88:E99)</f>
        <v>0.46416666666666667</v>
      </c>
      <c r="F100" s="321"/>
      <c r="G100" s="9"/>
      <c r="H100" s="42"/>
      <c r="I100" s="42"/>
      <c r="J100" s="42"/>
      <c r="K100" s="42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W100" s="64"/>
      <c r="X100" s="64"/>
      <c r="Y100" s="9"/>
      <c r="Z100" s="9"/>
      <c r="AA100" s="9"/>
      <c r="AB100" s="9"/>
      <c r="AC100" s="9"/>
      <c r="AD100" s="9"/>
    </row>
    <row r="101" spans="2:30" x14ac:dyDescent="0.2">
      <c r="B101" s="9"/>
      <c r="C101" s="9"/>
      <c r="D101" s="9"/>
      <c r="E101" s="9"/>
      <c r="F101" s="321"/>
      <c r="G101" s="9"/>
      <c r="H101" s="42"/>
      <c r="I101" s="42"/>
      <c r="J101" s="42"/>
      <c r="K101" s="42"/>
      <c r="L101" s="64"/>
      <c r="M101" s="64"/>
      <c r="N101" s="64"/>
      <c r="O101" s="64"/>
      <c r="P101" s="64"/>
      <c r="Q101" s="64"/>
      <c r="R101" s="64"/>
      <c r="S101" s="64"/>
      <c r="T101" s="64"/>
      <c r="U101" s="64"/>
      <c r="V101" s="64"/>
      <c r="W101" s="64"/>
      <c r="X101" s="64"/>
      <c r="Y101" s="9"/>
      <c r="Z101" s="9"/>
      <c r="AA101" s="9"/>
      <c r="AB101" s="9"/>
      <c r="AC101" s="9"/>
      <c r="AD101" s="9"/>
    </row>
    <row r="102" spans="2:30" x14ac:dyDescent="0.2">
      <c r="B102" s="9"/>
      <c r="C102" s="52"/>
      <c r="D102" s="9"/>
      <c r="E102" s="137"/>
      <c r="F102" s="321"/>
      <c r="G102" s="9"/>
      <c r="H102" s="42"/>
      <c r="I102" s="42"/>
      <c r="J102" s="42"/>
      <c r="K102" s="42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4"/>
      <c r="X102" s="64"/>
      <c r="Y102" s="9"/>
      <c r="Z102" s="9"/>
      <c r="AA102" s="9"/>
      <c r="AB102" s="9"/>
      <c r="AC102" s="9"/>
      <c r="AD102" s="9"/>
    </row>
    <row r="103" spans="2:30" x14ac:dyDescent="0.2">
      <c r="B103" s="175" t="s">
        <v>961</v>
      </c>
      <c r="C103" s="316" t="s">
        <v>298</v>
      </c>
      <c r="D103" s="316" t="s">
        <v>943</v>
      </c>
      <c r="E103" s="316" t="s">
        <v>944</v>
      </c>
      <c r="F103" s="321"/>
      <c r="G103" s="9"/>
      <c r="H103" s="42"/>
      <c r="I103" s="42"/>
      <c r="J103" s="42"/>
      <c r="K103" s="42"/>
      <c r="L103" s="64"/>
      <c r="M103" s="288"/>
      <c r="N103" s="289"/>
      <c r="O103" s="289"/>
      <c r="P103" s="289"/>
      <c r="Q103" s="289"/>
      <c r="R103" s="64"/>
      <c r="S103" s="64"/>
      <c r="T103" s="64"/>
      <c r="U103" s="64"/>
      <c r="V103" s="64"/>
      <c r="W103" s="64"/>
      <c r="X103" s="64"/>
      <c r="Y103" s="9"/>
      <c r="Z103" s="9"/>
      <c r="AA103" s="9"/>
      <c r="AB103" s="9"/>
      <c r="AC103" s="9"/>
      <c r="AD103" s="9"/>
    </row>
    <row r="104" spans="2:30" x14ac:dyDescent="0.2">
      <c r="B104" s="444" t="s">
        <v>957</v>
      </c>
      <c r="C104" s="318" t="s">
        <v>990</v>
      </c>
      <c r="D104" s="318" t="s">
        <v>990</v>
      </c>
      <c r="E104" s="318" t="s">
        <v>990</v>
      </c>
      <c r="F104" s="321"/>
      <c r="G104" s="9"/>
      <c r="H104" s="42"/>
      <c r="I104" s="42"/>
      <c r="J104" s="42"/>
      <c r="K104" s="42"/>
      <c r="L104" s="64"/>
      <c r="M104" s="42"/>
      <c r="N104" s="64"/>
      <c r="O104" s="64"/>
      <c r="P104" s="64"/>
      <c r="Q104" s="64"/>
      <c r="R104" s="64"/>
      <c r="S104" s="42"/>
      <c r="T104" s="64"/>
      <c r="U104" s="64"/>
      <c r="V104" s="64"/>
      <c r="W104" s="64"/>
      <c r="X104" s="64"/>
      <c r="Y104" s="9"/>
      <c r="Z104" s="9"/>
      <c r="AA104" s="9"/>
      <c r="AB104" s="9"/>
      <c r="AC104" s="9"/>
      <c r="AD104" s="9"/>
    </row>
    <row r="105" spans="2:30" x14ac:dyDescent="0.2">
      <c r="B105" s="11">
        <v>1</v>
      </c>
      <c r="C105" s="13">
        <v>0.28000000000000003</v>
      </c>
      <c r="D105" s="13">
        <v>0.22</v>
      </c>
      <c r="E105" s="13">
        <v>7.0000000000000007E-2</v>
      </c>
      <c r="F105" s="321"/>
      <c r="G105" s="9"/>
      <c r="H105" s="42"/>
      <c r="I105" s="42"/>
      <c r="J105" s="42"/>
      <c r="K105" s="42"/>
      <c r="L105" s="64"/>
      <c r="M105" s="42"/>
      <c r="N105" s="64"/>
      <c r="O105" s="64"/>
      <c r="P105" s="64"/>
      <c r="Q105" s="64"/>
      <c r="R105" s="64"/>
      <c r="S105" s="42"/>
      <c r="T105" s="64"/>
      <c r="U105" s="64"/>
      <c r="V105" s="64"/>
      <c r="W105" s="64"/>
      <c r="X105" s="64"/>
      <c r="Y105" s="9"/>
      <c r="Z105" s="9"/>
      <c r="AA105" s="9"/>
      <c r="AB105" s="9"/>
      <c r="AC105" s="9"/>
      <c r="AD105" s="9"/>
    </row>
    <row r="106" spans="2:30" x14ac:dyDescent="0.2">
      <c r="B106" s="11">
        <v>2</v>
      </c>
      <c r="C106" s="13">
        <v>0.32</v>
      </c>
      <c r="D106" s="13">
        <v>0.28999999999999998</v>
      </c>
      <c r="E106" s="13">
        <v>0.14000000000000001</v>
      </c>
      <c r="F106" s="321"/>
      <c r="G106" s="9"/>
      <c r="H106" s="42"/>
      <c r="I106" s="42"/>
      <c r="J106" s="42"/>
      <c r="K106" s="42"/>
      <c r="L106" s="64"/>
      <c r="M106" s="42"/>
      <c r="N106" s="64"/>
      <c r="O106" s="64"/>
      <c r="P106" s="64"/>
      <c r="Q106" s="64"/>
      <c r="R106" s="64"/>
      <c r="S106" s="42"/>
      <c r="T106" s="64"/>
      <c r="U106" s="64"/>
      <c r="V106" s="64"/>
      <c r="W106" s="64"/>
      <c r="X106" s="64"/>
      <c r="Y106" s="9"/>
      <c r="Z106" s="9"/>
      <c r="AA106" s="9"/>
      <c r="AB106" s="9"/>
      <c r="AC106" s="9"/>
      <c r="AD106" s="9"/>
    </row>
    <row r="107" spans="2:30" x14ac:dyDescent="0.2">
      <c r="B107" s="11">
        <v>3</v>
      </c>
      <c r="C107" s="13">
        <v>0.39</v>
      </c>
      <c r="D107" s="13">
        <v>0.47</v>
      </c>
      <c r="E107" s="13">
        <v>0.12</v>
      </c>
      <c r="F107" s="321"/>
      <c r="G107" s="9"/>
      <c r="H107" s="42"/>
      <c r="I107" s="42"/>
      <c r="J107" s="42"/>
      <c r="K107" s="42"/>
      <c r="L107" s="64"/>
      <c r="M107" s="42"/>
      <c r="N107" s="64"/>
      <c r="O107" s="64"/>
      <c r="P107" s="64"/>
      <c r="Q107" s="64"/>
      <c r="R107" s="64"/>
      <c r="S107" s="42"/>
      <c r="T107" s="64"/>
      <c r="U107" s="64"/>
      <c r="V107" s="64"/>
      <c r="W107" s="64"/>
      <c r="X107" s="64"/>
      <c r="Y107" s="9"/>
      <c r="Z107" s="9"/>
      <c r="AA107" s="9"/>
      <c r="AB107" s="9"/>
      <c r="AC107" s="9"/>
      <c r="AD107" s="9"/>
    </row>
    <row r="108" spans="2:30" x14ac:dyDescent="0.2">
      <c r="B108" s="11">
        <v>4</v>
      </c>
      <c r="C108" s="13">
        <v>0.28999999999999998</v>
      </c>
      <c r="D108" s="13">
        <v>0.26</v>
      </c>
      <c r="E108" s="13">
        <v>0.28000000000000003</v>
      </c>
      <c r="F108" s="64"/>
      <c r="G108" s="9"/>
      <c r="H108" s="42"/>
      <c r="I108" s="42"/>
      <c r="J108" s="42"/>
      <c r="K108" s="42"/>
      <c r="L108" s="64"/>
      <c r="M108" s="42"/>
      <c r="N108" s="64"/>
      <c r="O108" s="64"/>
      <c r="P108" s="64"/>
      <c r="Q108" s="64"/>
      <c r="R108" s="64"/>
      <c r="S108" s="42"/>
      <c r="T108" s="64"/>
      <c r="U108" s="64"/>
      <c r="V108" s="64"/>
      <c r="W108" s="64"/>
      <c r="X108" s="64"/>
      <c r="Y108" s="9"/>
      <c r="Z108" s="9"/>
      <c r="AA108" s="9"/>
      <c r="AB108" s="9"/>
      <c r="AC108" s="9"/>
      <c r="AD108" s="9"/>
    </row>
    <row r="109" spans="2:30" x14ac:dyDescent="0.2">
      <c r="B109" s="11">
        <v>5</v>
      </c>
      <c r="C109" s="13">
        <v>0.36</v>
      </c>
      <c r="D109" s="13">
        <v>0.44</v>
      </c>
      <c r="E109" s="13">
        <v>0.13</v>
      </c>
      <c r="F109" s="64"/>
      <c r="G109" s="9"/>
      <c r="H109" s="9"/>
      <c r="I109" s="9"/>
      <c r="J109" s="9"/>
      <c r="K109" s="9"/>
      <c r="L109" s="64"/>
      <c r="M109" s="9"/>
      <c r="N109" s="64"/>
      <c r="O109" s="64"/>
      <c r="P109" s="64"/>
      <c r="Q109" s="64"/>
      <c r="R109" s="64"/>
      <c r="S109" s="9"/>
      <c r="T109" s="64"/>
      <c r="U109" s="64"/>
      <c r="V109" s="64"/>
      <c r="W109" s="64"/>
      <c r="X109" s="64"/>
      <c r="Y109" s="9"/>
      <c r="Z109" s="9"/>
      <c r="AA109" s="9"/>
      <c r="AB109" s="9"/>
      <c r="AC109" s="9"/>
      <c r="AD109" s="9"/>
    </row>
    <row r="110" spans="2:30" x14ac:dyDescent="0.2">
      <c r="B110" s="11">
        <v>6</v>
      </c>
      <c r="C110" s="13">
        <v>0.18</v>
      </c>
      <c r="D110" s="13">
        <v>0.34</v>
      </c>
      <c r="E110" s="13">
        <v>0.09</v>
      </c>
      <c r="F110" s="64"/>
      <c r="G110" s="9"/>
      <c r="H110" s="9"/>
      <c r="I110" s="9"/>
      <c r="J110" s="9"/>
      <c r="K110" s="9"/>
      <c r="L110" s="64"/>
      <c r="M110" s="9"/>
      <c r="N110" s="9"/>
      <c r="O110" s="9"/>
      <c r="P110" s="9"/>
      <c r="Q110" s="9"/>
      <c r="R110" s="64"/>
      <c r="S110" s="9"/>
      <c r="T110" s="64"/>
      <c r="U110" s="64"/>
      <c r="V110" s="64"/>
      <c r="W110" s="64"/>
      <c r="X110" s="64"/>
      <c r="Y110" s="9"/>
      <c r="Z110" s="9"/>
      <c r="AA110" s="9"/>
      <c r="AB110" s="9"/>
      <c r="AC110" s="9"/>
      <c r="AD110" s="9"/>
    </row>
    <row r="111" spans="2:30" x14ac:dyDescent="0.2">
      <c r="B111" s="11">
        <v>7</v>
      </c>
      <c r="C111" s="13">
        <v>0.21</v>
      </c>
      <c r="D111" s="13">
        <v>0.21</v>
      </c>
      <c r="E111" s="13">
        <v>0.09</v>
      </c>
      <c r="F111" s="64"/>
      <c r="G111" s="9"/>
      <c r="H111" s="9"/>
      <c r="I111" s="9"/>
      <c r="J111" s="9"/>
      <c r="K111" s="9"/>
      <c r="L111" s="64"/>
      <c r="M111" s="9"/>
      <c r="N111" s="9"/>
      <c r="O111" s="9"/>
      <c r="P111" s="9"/>
      <c r="Q111" s="9"/>
      <c r="R111" s="64"/>
      <c r="S111" s="9"/>
      <c r="T111" s="64"/>
      <c r="U111" s="64"/>
      <c r="V111" s="64"/>
      <c r="W111" s="64"/>
      <c r="X111" s="64"/>
      <c r="Y111" s="9"/>
      <c r="Z111" s="9"/>
      <c r="AA111" s="9"/>
      <c r="AB111" s="9"/>
      <c r="AC111" s="9"/>
      <c r="AD111" s="9"/>
    </row>
    <row r="112" spans="2:30" x14ac:dyDescent="0.2">
      <c r="B112" s="11">
        <v>8</v>
      </c>
      <c r="C112" s="13">
        <v>0.27</v>
      </c>
      <c r="D112" s="13">
        <v>0.22</v>
      </c>
      <c r="E112" s="13">
        <v>0.1</v>
      </c>
      <c r="F112" s="64"/>
      <c r="G112" s="9"/>
      <c r="H112" s="9"/>
      <c r="I112" s="9"/>
      <c r="J112" s="9"/>
      <c r="K112" s="9"/>
      <c r="L112" s="64"/>
      <c r="M112" s="9"/>
      <c r="N112" s="9"/>
      <c r="O112" s="9"/>
      <c r="P112" s="9"/>
      <c r="Q112" s="9"/>
      <c r="R112" s="64"/>
      <c r="S112" s="9"/>
      <c r="T112" s="64"/>
      <c r="U112" s="64"/>
      <c r="V112" s="64"/>
      <c r="W112" s="64"/>
      <c r="X112" s="64"/>
      <c r="Y112" s="9"/>
      <c r="Z112" s="9"/>
      <c r="AA112" s="9"/>
      <c r="AB112" s="9"/>
      <c r="AC112" s="9"/>
      <c r="AD112" s="9"/>
    </row>
    <row r="113" spans="2:30" x14ac:dyDescent="0.2">
      <c r="B113" s="11">
        <v>9</v>
      </c>
      <c r="C113" s="13">
        <v>0.26</v>
      </c>
      <c r="D113" s="13">
        <v>0.19</v>
      </c>
      <c r="E113" s="13">
        <v>7.0000000000000007E-2</v>
      </c>
      <c r="F113" s="64"/>
      <c r="G113" s="9"/>
      <c r="H113" s="9"/>
      <c r="I113" s="9"/>
      <c r="J113" s="9"/>
      <c r="K113" s="9"/>
      <c r="L113" s="64"/>
      <c r="M113" s="9"/>
      <c r="N113" s="9"/>
      <c r="O113" s="9"/>
      <c r="P113" s="9"/>
      <c r="Q113" s="9"/>
      <c r="R113" s="64"/>
      <c r="S113" s="9"/>
      <c r="T113" s="64"/>
      <c r="U113" s="64"/>
      <c r="V113" s="64"/>
      <c r="W113" s="64"/>
      <c r="X113" s="9"/>
      <c r="Y113" s="9"/>
      <c r="Z113" s="9"/>
      <c r="AA113" s="9"/>
      <c r="AB113" s="9"/>
      <c r="AC113" s="9"/>
      <c r="AD113" s="9"/>
    </row>
    <row r="114" spans="2:30" x14ac:dyDescent="0.2">
      <c r="B114" s="11">
        <v>10</v>
      </c>
      <c r="C114" s="13">
        <v>0.19</v>
      </c>
      <c r="D114" s="13">
        <v>0.15</v>
      </c>
      <c r="E114" s="13">
        <v>0.09</v>
      </c>
      <c r="F114" s="64"/>
      <c r="G114" s="289"/>
      <c r="H114" s="9"/>
      <c r="I114" s="9"/>
      <c r="J114" s="9"/>
      <c r="K114" s="9"/>
      <c r="L114" s="64"/>
      <c r="M114" s="9"/>
      <c r="N114" s="9"/>
      <c r="O114" s="9"/>
      <c r="P114" s="9"/>
      <c r="Q114" s="9"/>
      <c r="R114" s="64"/>
      <c r="S114" s="9"/>
      <c r="T114" s="64"/>
      <c r="U114" s="64"/>
      <c r="V114" s="64"/>
      <c r="W114" s="64"/>
      <c r="X114" s="9"/>
      <c r="Y114" s="9"/>
      <c r="Z114" s="9"/>
      <c r="AA114" s="9"/>
      <c r="AB114" s="9"/>
      <c r="AC114" s="9"/>
      <c r="AD114" s="9"/>
    </row>
    <row r="115" spans="2:30" x14ac:dyDescent="0.2">
      <c r="B115" s="69" t="s">
        <v>51</v>
      </c>
      <c r="C115" s="13">
        <f>AVERAGE(C105:C114)</f>
        <v>0.27500000000000002</v>
      </c>
      <c r="D115" s="13">
        <f t="shared" ref="D115:E115" si="9">AVERAGE(D105:D114)</f>
        <v>0.27900000000000003</v>
      </c>
      <c r="E115" s="13">
        <f t="shared" si="9"/>
        <v>0.11800000000000002</v>
      </c>
      <c r="F115" s="64"/>
      <c r="G115" s="64"/>
      <c r="H115" s="9"/>
      <c r="I115" s="9"/>
      <c r="J115" s="9"/>
      <c r="K115" s="9"/>
      <c r="L115" s="64"/>
      <c r="M115" s="9"/>
      <c r="N115" s="9"/>
      <c r="O115" s="9"/>
      <c r="P115" s="9"/>
      <c r="Q115" s="9"/>
      <c r="R115" s="64"/>
      <c r="S115" s="9"/>
      <c r="T115" s="64"/>
      <c r="U115" s="64"/>
      <c r="V115" s="64"/>
      <c r="W115" s="64"/>
      <c r="X115" s="9"/>
      <c r="Y115" s="9"/>
      <c r="Z115" s="9"/>
      <c r="AA115" s="9"/>
      <c r="AB115" s="9"/>
      <c r="AC115" s="9"/>
      <c r="AD115" s="9"/>
    </row>
    <row r="116" spans="2:30" x14ac:dyDescent="0.2">
      <c r="B116" s="9"/>
      <c r="C116" s="9"/>
      <c r="D116" s="9"/>
      <c r="E116" s="9"/>
      <c r="F116" s="64"/>
      <c r="G116" s="9"/>
      <c r="H116" s="9"/>
      <c r="I116" s="330"/>
      <c r="J116" s="330"/>
      <c r="K116" s="247"/>
      <c r="L116" s="21"/>
      <c r="M116" s="42"/>
      <c r="N116" s="9"/>
      <c r="O116" s="9"/>
      <c r="P116" s="9"/>
      <c r="Q116" s="9"/>
      <c r="R116" s="64"/>
      <c r="S116" s="9"/>
      <c r="T116" s="64"/>
      <c r="U116" s="64"/>
      <c r="V116" s="64"/>
      <c r="W116" s="64"/>
      <c r="X116" s="9"/>
      <c r="Y116" s="9"/>
      <c r="Z116" s="9"/>
      <c r="AA116" s="9"/>
      <c r="AB116" s="9"/>
      <c r="AC116" s="9"/>
      <c r="AD116" s="9"/>
    </row>
    <row r="117" spans="2:30" x14ac:dyDescent="0.2">
      <c r="B117" s="206" t="s">
        <v>993</v>
      </c>
      <c r="C117" s="206"/>
      <c r="D117" s="206"/>
      <c r="E117" s="206"/>
      <c r="F117" s="64"/>
      <c r="G117" s="331"/>
      <c r="H117" s="289"/>
      <c r="I117" s="9"/>
      <c r="J117" s="42"/>
      <c r="K117" s="42"/>
      <c r="L117" s="64"/>
      <c r="M117" s="9"/>
      <c r="N117" s="9"/>
      <c r="O117" s="9"/>
      <c r="P117" s="9"/>
      <c r="Q117" s="9"/>
      <c r="R117" s="64"/>
      <c r="S117" s="9"/>
      <c r="T117" s="64"/>
      <c r="U117" s="64"/>
      <c r="V117" s="64"/>
      <c r="W117" s="64"/>
      <c r="X117" s="9"/>
      <c r="Y117" s="9"/>
      <c r="Z117" s="9"/>
      <c r="AA117" s="9"/>
      <c r="AB117" s="9"/>
      <c r="AC117" s="9"/>
      <c r="AD117" s="9"/>
    </row>
    <row r="118" spans="2:30" x14ac:dyDescent="0.2">
      <c r="B118" s="9"/>
      <c r="C118" s="9"/>
      <c r="D118" s="9"/>
      <c r="E118" s="9"/>
      <c r="F118" s="64"/>
      <c r="G118" s="65"/>
      <c r="H118" s="64"/>
      <c r="I118" s="9"/>
      <c r="J118" s="9"/>
      <c r="K118" s="9"/>
      <c r="L118" s="64"/>
      <c r="M118" s="9"/>
      <c r="N118" s="9"/>
      <c r="O118" s="9"/>
      <c r="P118" s="9"/>
      <c r="Q118" s="9"/>
      <c r="R118" s="64"/>
      <c r="S118" s="9"/>
      <c r="T118" s="64"/>
      <c r="U118" s="64"/>
      <c r="V118" s="64"/>
      <c r="W118" s="64"/>
      <c r="X118" s="9"/>
      <c r="Y118" s="9"/>
      <c r="Z118" s="9"/>
      <c r="AA118" s="9"/>
      <c r="AB118" s="9"/>
      <c r="AC118" s="9"/>
      <c r="AD118" s="9"/>
    </row>
    <row r="119" spans="2:30" x14ac:dyDescent="0.2">
      <c r="B119" s="9"/>
      <c r="C119" s="514" t="s">
        <v>1</v>
      </c>
      <c r="D119" s="515"/>
      <c r="E119" s="516"/>
      <c r="F119" s="142"/>
      <c r="G119" s="65"/>
      <c r="H119" s="9"/>
      <c r="I119" s="514" t="s">
        <v>296</v>
      </c>
      <c r="J119" s="515"/>
      <c r="K119" s="516"/>
      <c r="L119" s="64"/>
      <c r="M119" s="9"/>
      <c r="N119" s="9"/>
      <c r="O119" s="9"/>
      <c r="P119" s="9"/>
      <c r="Q119" s="9"/>
      <c r="R119" s="64"/>
      <c r="S119" s="9"/>
      <c r="T119" s="64"/>
      <c r="U119" s="64"/>
      <c r="V119" s="64"/>
      <c r="W119" s="64"/>
      <c r="X119" s="9"/>
      <c r="Y119" s="9"/>
      <c r="Z119" s="9"/>
      <c r="AA119" s="9"/>
      <c r="AB119" s="9"/>
      <c r="AC119" s="9"/>
      <c r="AD119" s="9"/>
    </row>
    <row r="120" spans="2:30" x14ac:dyDescent="0.2">
      <c r="B120" s="52" t="s">
        <v>658</v>
      </c>
      <c r="C120" s="152" t="s">
        <v>298</v>
      </c>
      <c r="D120" s="152" t="s">
        <v>299</v>
      </c>
      <c r="E120" s="152" t="s">
        <v>944</v>
      </c>
      <c r="F120" s="277"/>
      <c r="G120" s="9"/>
      <c r="H120" s="52" t="s">
        <v>658</v>
      </c>
      <c r="I120" s="152" t="s">
        <v>298</v>
      </c>
      <c r="J120" s="152" t="s">
        <v>299</v>
      </c>
      <c r="K120" s="152" t="s">
        <v>944</v>
      </c>
      <c r="L120" s="64"/>
      <c r="M120" s="9"/>
      <c r="N120" s="9"/>
      <c r="O120" s="9"/>
      <c r="P120" s="332"/>
      <c r="Q120" s="9"/>
      <c r="R120" s="64"/>
      <c r="S120" s="9"/>
      <c r="T120" s="64"/>
      <c r="U120" s="64"/>
      <c r="V120" s="64"/>
      <c r="W120" s="64"/>
      <c r="X120" s="9"/>
      <c r="Y120" s="9"/>
      <c r="Z120" s="9"/>
      <c r="AA120" s="9"/>
      <c r="AB120" s="9"/>
      <c r="AC120" s="9"/>
      <c r="AD120" s="9"/>
    </row>
    <row r="121" spans="2:30" x14ac:dyDescent="0.2">
      <c r="B121" s="17" t="s">
        <v>51</v>
      </c>
      <c r="C121" s="315">
        <f>AVERAGE(C115,C100,C82,C65,C44,C19)</f>
        <v>0.46315458320060127</v>
      </c>
      <c r="D121" s="315">
        <f>AVERAGE(D115,D100,D82,D65,D44,D19)</f>
        <v>0.44178439153439159</v>
      </c>
      <c r="E121" s="315">
        <f>AVERAGE(E115,E100,E82,E65,E44,E19)</f>
        <v>0.27334081566327101</v>
      </c>
      <c r="F121" s="405"/>
      <c r="G121" s="9"/>
      <c r="H121" s="51" t="s">
        <v>51</v>
      </c>
      <c r="I121" s="315">
        <f>AVERAGE(I56,O56,U56,U37,O40,I37,I24,O17,U17)</f>
        <v>0.37932511565756649</v>
      </c>
      <c r="J121" s="315">
        <f>AVERAGE(J56,P56,V56,V37,P40,J37,J24,P17,V17)</f>
        <v>0.27640011765001854</v>
      </c>
      <c r="K121" s="315">
        <f>AVERAGE(K56,Q56,W56,W37,Q40,K37,K24,Q17,W17)</f>
        <v>9.4325607529147357E-2</v>
      </c>
      <c r="L121" s="64"/>
      <c r="M121" s="9"/>
      <c r="N121" s="9"/>
      <c r="O121" s="9"/>
      <c r="P121" s="9"/>
      <c r="Q121" s="9"/>
      <c r="R121" s="64"/>
      <c r="S121" s="9"/>
      <c r="T121" s="64"/>
      <c r="U121" s="64"/>
      <c r="V121" s="64"/>
      <c r="W121" s="64"/>
      <c r="X121" s="9"/>
      <c r="Y121" s="9"/>
      <c r="Z121" s="9"/>
      <c r="AA121" s="9"/>
      <c r="AB121" s="9"/>
      <c r="AC121" s="9"/>
      <c r="AD121" s="9"/>
    </row>
    <row r="122" spans="2:30" x14ac:dyDescent="0.2">
      <c r="B122" s="17" t="s">
        <v>13</v>
      </c>
      <c r="C122" s="105">
        <f>STDEV(C115,C100,C82,C65,C44,C19)</f>
        <v>0.15200527253562129</v>
      </c>
      <c r="D122" s="105">
        <f>STDEV(D115,D100,D82,D65,D44,D19)</f>
        <v>0.1100080977363269</v>
      </c>
      <c r="E122" s="105">
        <f>STDEV(E115,E100,E82,E65,E44,E19)</f>
        <v>0.11790561003458432</v>
      </c>
      <c r="F122" s="106"/>
      <c r="G122" s="9"/>
      <c r="H122" s="51" t="s">
        <v>13</v>
      </c>
      <c r="I122" s="13">
        <f>STDEV(I24,I37,I56,O56,O40,O17,U17,U37,U56)</f>
        <v>0.11034287583340684</v>
      </c>
      <c r="J122" s="13">
        <f>STDEV(J24,J37,J56,P56,P40,P17,V17,V37,V56)</f>
        <v>0.15382254219224806</v>
      </c>
      <c r="K122" s="13">
        <f>STDEV(K24,K37,K56,Q56,Q40,Q17,W17,W37,W56)</f>
        <v>8.5403431093598006E-2</v>
      </c>
      <c r="L122" s="64"/>
      <c r="M122" s="9"/>
      <c r="N122" s="9"/>
      <c r="O122" s="9"/>
      <c r="P122" s="9"/>
      <c r="Q122" s="9"/>
      <c r="R122" s="64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</row>
    <row r="123" spans="2:30" x14ac:dyDescent="0.2">
      <c r="B123" s="17" t="s">
        <v>941</v>
      </c>
      <c r="C123" s="55">
        <f>COUNT(C105:C114,C88:C99,C70:C81,C49:C64,C30:C43,C10:C18)</f>
        <v>65</v>
      </c>
      <c r="D123" s="55">
        <f>COUNT(D105:D114,D88:D99,D70:D81,D49:D64,D30:D43,D10:D18)</f>
        <v>73</v>
      </c>
      <c r="E123" s="55">
        <f>COUNT(E105:E114,E88:E99,E70:E81,E49:E64,E30:E43,E10:E18)</f>
        <v>73</v>
      </c>
      <c r="F123" s="64"/>
      <c r="G123" s="9"/>
      <c r="H123" s="51" t="s">
        <v>941</v>
      </c>
      <c r="I123" s="83">
        <f>SUM(I49:I55,I30:I36,O49:O55,I10:I23,O10:O16,U10:U16,U30:U36,O30:O39,U49:U55)</f>
        <v>27.648763557242514</v>
      </c>
      <c r="J123" s="83">
        <f>SUM(J49:J55,J30:J36,P49:P55,J10:J23,P10:P16,V10:V16,V30:V36,P30:P39,V49:V55)</f>
        <v>17.406039975377222</v>
      </c>
      <c r="K123" s="83">
        <f>SUM(K49:K55,K30:K36,Q49:Q55,K10:K23,Q10:Q16,W10:W16,W30:W36,Q30:Q39,W49:W55)</f>
        <v>3.4858407079646021</v>
      </c>
      <c r="L123" s="64"/>
      <c r="M123" s="9"/>
      <c r="N123" s="9"/>
      <c r="O123" s="9"/>
      <c r="P123" s="9"/>
      <c r="Q123" s="9"/>
      <c r="R123" s="64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</row>
    <row r="124" spans="2:30" x14ac:dyDescent="0.2">
      <c r="B124" s="55" t="s">
        <v>694</v>
      </c>
      <c r="C124" s="17">
        <v>6</v>
      </c>
      <c r="D124" s="17">
        <v>6</v>
      </c>
      <c r="E124" s="17">
        <v>6</v>
      </c>
      <c r="F124" s="64"/>
      <c r="G124" s="9"/>
      <c r="H124" s="317" t="s">
        <v>694</v>
      </c>
      <c r="I124" s="17">
        <f>COUNT(I24,I37,I56,O56,O40,O17,U17,U37,U56)</f>
        <v>9</v>
      </c>
      <c r="J124" s="17">
        <f>COUNT(J24,J37,J56,P56,P40,P17,V17,V37,V56)</f>
        <v>7</v>
      </c>
      <c r="K124" s="17">
        <f>COUNT(K24,K37,K56,Q56,Q40,Q17,W17,W37,W56)</f>
        <v>5</v>
      </c>
      <c r="L124" s="64"/>
      <c r="M124" s="9"/>
      <c r="N124" s="9"/>
      <c r="O124" s="9"/>
      <c r="P124" s="9"/>
      <c r="Q124" s="9"/>
      <c r="R124" s="64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</row>
    <row r="125" spans="2:30" x14ac:dyDescent="0.2">
      <c r="B125" s="17" t="s">
        <v>14</v>
      </c>
      <c r="C125" s="105">
        <f>C122/SQRT(6)</f>
        <v>6.2055892654160984E-2</v>
      </c>
      <c r="D125" s="73">
        <f t="shared" ref="D125:E125" si="10">D122/SQRT(6)</f>
        <v>4.4910617838037022E-2</v>
      </c>
      <c r="E125" s="105">
        <f t="shared" si="10"/>
        <v>4.8134763732717946E-2</v>
      </c>
      <c r="F125" s="245"/>
      <c r="G125" s="9"/>
      <c r="H125" s="51" t="s">
        <v>14</v>
      </c>
      <c r="I125" s="13">
        <f>I122/SQRT(9)</f>
        <v>3.678095861113561E-2</v>
      </c>
      <c r="J125" s="13">
        <f t="shared" ref="J125:K125" si="11">J122/SQRT(9)</f>
        <v>5.1274180730749352E-2</v>
      </c>
      <c r="K125" s="13">
        <f t="shared" si="11"/>
        <v>2.8467810364532668E-2</v>
      </c>
      <c r="L125" s="64"/>
      <c r="M125" s="9"/>
      <c r="N125" s="9"/>
      <c r="O125" s="9"/>
      <c r="P125" s="9"/>
      <c r="Q125" s="9"/>
      <c r="R125" s="64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</row>
    <row r="126" spans="2:30" x14ac:dyDescent="0.2">
      <c r="B126" s="68"/>
      <c r="C126" s="68"/>
      <c r="D126" s="68"/>
      <c r="E126" s="68"/>
      <c r="F126" s="64"/>
      <c r="G126" s="9"/>
      <c r="H126" s="9"/>
      <c r="I126" s="9"/>
      <c r="J126" s="9"/>
      <c r="K126" s="9"/>
      <c r="L126" s="64"/>
      <c r="M126" s="9"/>
      <c r="N126" s="9"/>
      <c r="O126" s="9"/>
      <c r="P126" s="9"/>
      <c r="Q126" s="9"/>
      <c r="R126" s="64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</row>
    <row r="127" spans="2:30" x14ac:dyDescent="0.2">
      <c r="B127" s="68"/>
      <c r="C127" s="68"/>
      <c r="D127" s="68"/>
      <c r="E127" s="68"/>
      <c r="F127" s="64"/>
      <c r="G127" s="9"/>
      <c r="H127" s="9"/>
      <c r="I127" s="9"/>
      <c r="J127" s="9"/>
      <c r="K127" s="9"/>
      <c r="L127" s="64"/>
      <c r="M127" s="9"/>
      <c r="N127" s="9"/>
      <c r="O127" s="9"/>
      <c r="P127" s="9"/>
      <c r="Q127" s="9"/>
      <c r="R127" s="64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</row>
    <row r="128" spans="2:30" x14ac:dyDescent="0.2">
      <c r="B128" s="8" t="s">
        <v>52</v>
      </c>
      <c r="C128" s="336"/>
      <c r="D128" s="336"/>
      <c r="E128" s="68"/>
      <c r="F128" s="64"/>
      <c r="G128" s="9"/>
      <c r="H128" s="9"/>
      <c r="I128" s="9"/>
      <c r="J128" s="9"/>
      <c r="K128" s="9"/>
      <c r="L128" s="64"/>
      <c r="M128" s="9"/>
      <c r="N128" s="9"/>
      <c r="O128" s="9"/>
      <c r="P128" s="9"/>
      <c r="Q128" s="9"/>
      <c r="R128" s="64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</row>
    <row r="129" spans="2:30" x14ac:dyDescent="0.2">
      <c r="B129" s="9"/>
      <c r="C129" s="9"/>
      <c r="D129" s="9"/>
      <c r="E129" s="68"/>
      <c r="F129" s="64"/>
      <c r="G129" s="9"/>
      <c r="H129" s="9"/>
      <c r="I129" s="9"/>
      <c r="J129" s="9"/>
      <c r="K129" s="9"/>
      <c r="L129" s="64"/>
      <c r="M129" s="9"/>
      <c r="N129" s="9"/>
      <c r="O129" s="9"/>
      <c r="P129" s="9"/>
      <c r="Q129" s="9"/>
      <c r="R129" s="64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</row>
    <row r="130" spans="2:30" x14ac:dyDescent="0.2">
      <c r="B130" s="52" t="s">
        <v>56</v>
      </c>
      <c r="C130" s="9"/>
      <c r="D130" s="9"/>
      <c r="E130" s="68"/>
      <c r="F130" s="64"/>
      <c r="G130" s="9"/>
      <c r="H130" s="9"/>
      <c r="I130" s="9"/>
      <c r="J130" s="9"/>
      <c r="K130" s="9"/>
      <c r="L130" s="64"/>
      <c r="M130" s="9"/>
      <c r="N130" s="9"/>
      <c r="O130" s="9"/>
      <c r="P130" s="9"/>
      <c r="Q130" s="9"/>
      <c r="R130" s="64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</row>
    <row r="131" spans="2:30" x14ac:dyDescent="0.2">
      <c r="B131" s="68"/>
      <c r="C131" s="68"/>
      <c r="D131" s="68"/>
      <c r="E131" s="68"/>
      <c r="F131" s="64"/>
      <c r="G131" s="9"/>
      <c r="H131" s="9"/>
      <c r="I131" s="9"/>
      <c r="J131" s="9"/>
      <c r="K131" s="9"/>
      <c r="L131" s="64"/>
      <c r="M131" s="9"/>
      <c r="N131" s="9"/>
      <c r="O131" s="9"/>
      <c r="P131" s="9"/>
      <c r="Q131" s="9"/>
      <c r="R131" s="64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</row>
    <row r="132" spans="2:30" x14ac:dyDescent="0.2">
      <c r="B132" s="3" t="s">
        <v>69</v>
      </c>
      <c r="C132" s="16" t="s">
        <v>70</v>
      </c>
      <c r="D132" s="16" t="s">
        <v>36</v>
      </c>
      <c r="E132" s="16" t="s">
        <v>37</v>
      </c>
      <c r="F132" s="16" t="s">
        <v>47</v>
      </c>
      <c r="G132" s="1"/>
      <c r="H132" s="9"/>
      <c r="I132" s="9"/>
      <c r="J132" s="9"/>
      <c r="K132" s="9"/>
      <c r="L132" s="64"/>
      <c r="M132" s="9"/>
      <c r="N132" s="9"/>
      <c r="O132" s="9"/>
      <c r="P132" s="9"/>
      <c r="Q132" s="9"/>
      <c r="R132" s="64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</row>
    <row r="133" spans="2:30" x14ac:dyDescent="0.2">
      <c r="B133" s="2" t="s">
        <v>667</v>
      </c>
      <c r="C133" s="1">
        <v>1.6990000000000001</v>
      </c>
      <c r="D133" s="1">
        <v>0.57430000000000003</v>
      </c>
      <c r="E133" s="1" t="s">
        <v>9</v>
      </c>
      <c r="F133" s="1" t="s">
        <v>49</v>
      </c>
      <c r="G133" s="1"/>
      <c r="H133" s="9"/>
      <c r="I133" s="9"/>
      <c r="J133" s="9"/>
      <c r="K133" s="9"/>
      <c r="L133" s="64"/>
      <c r="M133" s="9"/>
      <c r="N133" s="9"/>
      <c r="O133" s="9"/>
      <c r="P133" s="9"/>
      <c r="Q133" s="9"/>
      <c r="R133" s="64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</row>
    <row r="134" spans="2:30" x14ac:dyDescent="0.2">
      <c r="B134" s="2" t="s">
        <v>668</v>
      </c>
      <c r="C134" s="1">
        <v>35.15</v>
      </c>
      <c r="D134" s="1">
        <v>1E-4</v>
      </c>
      <c r="E134" s="1" t="s">
        <v>10</v>
      </c>
      <c r="F134" s="1" t="s">
        <v>41</v>
      </c>
      <c r="G134" s="1"/>
      <c r="H134" s="9"/>
      <c r="I134" s="9"/>
      <c r="J134" s="9"/>
      <c r="K134" s="9"/>
      <c r="L134" s="64"/>
      <c r="M134" s="9"/>
      <c r="N134" s="9"/>
      <c r="O134" s="9"/>
      <c r="P134" s="9"/>
      <c r="Q134" s="9"/>
      <c r="R134" s="64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</row>
    <row r="135" spans="2:30" x14ac:dyDescent="0.2">
      <c r="B135" s="2" t="s">
        <v>42</v>
      </c>
      <c r="C135" s="1">
        <v>18.579999999999998</v>
      </c>
      <c r="D135" s="1">
        <v>1.2999999999999999E-3</v>
      </c>
      <c r="E135" s="1" t="s">
        <v>11</v>
      </c>
      <c r="F135" s="1" t="s">
        <v>41</v>
      </c>
      <c r="G135" s="1"/>
      <c r="H135" s="9"/>
      <c r="I135" s="9"/>
      <c r="J135" s="9"/>
      <c r="K135" s="9"/>
      <c r="L135" s="64"/>
      <c r="M135" s="9"/>
      <c r="N135" s="9"/>
      <c r="O135" s="9"/>
      <c r="P135" s="9"/>
      <c r="Q135" s="9"/>
      <c r="R135" s="64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</row>
    <row r="136" spans="2:30" x14ac:dyDescent="0.2">
      <c r="B136" s="2"/>
      <c r="C136" s="1"/>
      <c r="D136" s="1"/>
      <c r="E136" s="1"/>
      <c r="F136" s="1"/>
      <c r="G136" s="1"/>
      <c r="H136" s="9"/>
      <c r="I136" s="9"/>
      <c r="J136" s="9"/>
      <c r="K136" s="9"/>
      <c r="L136" s="64"/>
      <c r="M136" s="9"/>
      <c r="N136" s="9"/>
      <c r="O136" s="9"/>
      <c r="P136" s="9"/>
      <c r="Q136" s="9"/>
      <c r="R136" s="64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</row>
    <row r="137" spans="2:30" x14ac:dyDescent="0.2">
      <c r="B137" s="2" t="s">
        <v>669</v>
      </c>
      <c r="C137" s="1" t="s">
        <v>670</v>
      </c>
      <c r="D137" s="1" t="s">
        <v>671</v>
      </c>
      <c r="E137" s="1" t="s">
        <v>672</v>
      </c>
      <c r="F137" s="1" t="s">
        <v>577</v>
      </c>
      <c r="G137" s="1" t="s">
        <v>36</v>
      </c>
      <c r="H137" s="9"/>
      <c r="I137" s="9"/>
      <c r="J137" s="9"/>
      <c r="K137" s="9"/>
      <c r="L137" s="64"/>
      <c r="M137" s="9"/>
      <c r="N137" s="9"/>
      <c r="O137" s="9"/>
      <c r="P137" s="9"/>
      <c r="Q137" s="9"/>
      <c r="R137" s="64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</row>
    <row r="138" spans="2:30" x14ac:dyDescent="0.2">
      <c r="B138" s="2" t="s">
        <v>667</v>
      </c>
      <c r="C138" s="1">
        <v>1.7569999999999999E-2</v>
      </c>
      <c r="D138" s="1">
        <v>2</v>
      </c>
      <c r="E138" s="1">
        <v>8.7860000000000004E-3</v>
      </c>
      <c r="F138" s="1" t="s">
        <v>994</v>
      </c>
      <c r="G138" s="1" t="s">
        <v>995</v>
      </c>
      <c r="H138" s="9"/>
      <c r="I138" s="9"/>
      <c r="J138" s="9"/>
      <c r="K138" s="9"/>
      <c r="L138" s="64"/>
      <c r="M138" s="9"/>
      <c r="N138" s="9"/>
      <c r="O138" s="9"/>
      <c r="P138" s="9"/>
      <c r="Q138" s="9"/>
      <c r="R138" s="64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</row>
    <row r="139" spans="2:30" x14ac:dyDescent="0.2">
      <c r="B139" s="2" t="s">
        <v>668</v>
      </c>
      <c r="C139" s="1">
        <v>0.36359999999999998</v>
      </c>
      <c r="D139" s="1">
        <v>2</v>
      </c>
      <c r="E139" s="1">
        <v>0.18179999999999999</v>
      </c>
      <c r="F139" s="1" t="s">
        <v>996</v>
      </c>
      <c r="G139" s="1" t="s">
        <v>997</v>
      </c>
      <c r="H139" s="9"/>
      <c r="I139" s="9"/>
      <c r="J139" s="9"/>
      <c r="K139" s="9"/>
      <c r="L139" s="64"/>
      <c r="M139" s="9"/>
      <c r="N139" s="9"/>
      <c r="O139" s="9"/>
      <c r="P139" s="9"/>
      <c r="Q139" s="9"/>
      <c r="R139" s="64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</row>
    <row r="140" spans="2:30" x14ac:dyDescent="0.2">
      <c r="B140" s="2" t="s">
        <v>42</v>
      </c>
      <c r="C140" s="1">
        <v>0.19220000000000001</v>
      </c>
      <c r="D140" s="1">
        <v>1</v>
      </c>
      <c r="E140" s="1">
        <v>0.19220000000000001</v>
      </c>
      <c r="F140" s="1" t="s">
        <v>998</v>
      </c>
      <c r="G140" s="1" t="s">
        <v>999</v>
      </c>
      <c r="H140" s="9"/>
      <c r="I140" s="9"/>
      <c r="J140" s="9"/>
      <c r="K140" s="9"/>
      <c r="L140" s="64"/>
      <c r="M140" s="9"/>
      <c r="N140" s="9"/>
      <c r="O140" s="9"/>
      <c r="P140" s="9"/>
      <c r="Q140" s="9"/>
      <c r="R140" s="64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</row>
    <row r="141" spans="2:30" x14ac:dyDescent="0.2">
      <c r="B141" s="2" t="s">
        <v>674</v>
      </c>
      <c r="C141" s="1">
        <v>0.5141</v>
      </c>
      <c r="D141" s="1">
        <v>33</v>
      </c>
      <c r="E141" s="1">
        <v>1.558E-2</v>
      </c>
      <c r="F141" s="1"/>
      <c r="G141" s="1"/>
      <c r="H141" s="9"/>
      <c r="I141" s="9"/>
      <c r="J141" s="9"/>
      <c r="K141" s="9"/>
      <c r="L141" s="64"/>
      <c r="M141" s="9"/>
      <c r="N141" s="9"/>
      <c r="O141" s="9"/>
      <c r="P141" s="9"/>
      <c r="Q141" s="9"/>
      <c r="R141" s="64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</row>
    <row r="142" spans="2:30" x14ac:dyDescent="0.2">
      <c r="B142" s="68"/>
      <c r="C142" s="68"/>
      <c r="D142" s="68"/>
      <c r="E142" s="68"/>
      <c r="F142" s="64"/>
      <c r="G142" s="9"/>
      <c r="H142" s="9"/>
      <c r="I142" s="9"/>
      <c r="J142" s="9"/>
      <c r="K142" s="9"/>
      <c r="L142" s="64"/>
      <c r="M142" s="9"/>
      <c r="N142" s="9"/>
      <c r="O142" s="9"/>
      <c r="P142" s="9"/>
      <c r="Q142" s="9"/>
      <c r="R142" s="64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</row>
    <row r="143" spans="2:30" x14ac:dyDescent="0.2">
      <c r="B143" s="68"/>
      <c r="C143" s="68"/>
      <c r="D143" s="68"/>
      <c r="E143" s="68"/>
      <c r="F143" s="64"/>
      <c r="G143" s="9"/>
      <c r="H143" s="9"/>
      <c r="I143" s="9"/>
      <c r="J143" s="9"/>
      <c r="K143" s="9"/>
      <c r="L143" s="64"/>
      <c r="M143" s="9"/>
      <c r="N143" s="9"/>
      <c r="O143" s="9"/>
      <c r="P143" s="9"/>
      <c r="Q143" s="9"/>
      <c r="R143" s="64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</row>
    <row r="144" spans="2:30" x14ac:dyDescent="0.2">
      <c r="B144" s="3" t="s">
        <v>968</v>
      </c>
      <c r="C144" s="16" t="s">
        <v>675</v>
      </c>
      <c r="D144" s="16" t="s">
        <v>46</v>
      </c>
      <c r="E144" s="16" t="s">
        <v>47</v>
      </c>
      <c r="F144" s="16" t="s">
        <v>48</v>
      </c>
      <c r="G144" s="16" t="s">
        <v>5</v>
      </c>
      <c r="H144" s="9"/>
      <c r="I144" s="9"/>
      <c r="J144" s="9"/>
      <c r="K144" s="9"/>
      <c r="L144" s="64"/>
      <c r="M144" s="9"/>
      <c r="N144" s="9"/>
      <c r="O144" s="9"/>
      <c r="P144" s="9"/>
      <c r="Q144" s="9"/>
      <c r="R144" s="64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</row>
    <row r="145" spans="2:30" x14ac:dyDescent="0.2">
      <c r="B145" s="2" t="s">
        <v>974</v>
      </c>
      <c r="C145" s="1"/>
      <c r="D145" s="1"/>
      <c r="E145" s="1"/>
      <c r="F145" s="1"/>
      <c r="G145" s="1"/>
      <c r="H145" s="9"/>
      <c r="I145" s="9"/>
      <c r="J145" s="9"/>
      <c r="K145" s="9"/>
      <c r="L145" s="64"/>
      <c r="M145" s="9"/>
      <c r="N145" s="9"/>
      <c r="O145" s="9"/>
      <c r="P145" s="9"/>
      <c r="Q145" s="9"/>
      <c r="R145" s="64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</row>
    <row r="146" spans="2:30" x14ac:dyDescent="0.2">
      <c r="B146" s="2" t="s">
        <v>298</v>
      </c>
      <c r="C146" s="1">
        <v>8.3830000000000002E-2</v>
      </c>
      <c r="D146" s="1" t="s">
        <v>1000</v>
      </c>
      <c r="E146" s="1" t="s">
        <v>49</v>
      </c>
      <c r="F146" s="1" t="s">
        <v>9</v>
      </c>
      <c r="G146" s="1">
        <v>0.50970000000000004</v>
      </c>
      <c r="H146" s="9"/>
      <c r="I146" s="9"/>
      <c r="J146" s="9"/>
      <c r="K146" s="9"/>
      <c r="L146" s="64"/>
      <c r="M146" s="9"/>
      <c r="N146" s="9"/>
      <c r="O146" s="9"/>
      <c r="P146" s="9"/>
      <c r="Q146" s="9"/>
      <c r="R146" s="64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</row>
    <row r="147" spans="2:30" x14ac:dyDescent="0.2">
      <c r="B147" s="2" t="s">
        <v>299</v>
      </c>
      <c r="C147" s="1">
        <v>0.16539999999999999</v>
      </c>
      <c r="D147" s="1" t="s">
        <v>1001</v>
      </c>
      <c r="E147" s="1" t="s">
        <v>49</v>
      </c>
      <c r="F147" s="1" t="s">
        <v>9</v>
      </c>
      <c r="G147" s="1">
        <v>6.7900000000000002E-2</v>
      </c>
      <c r="H147" s="9"/>
      <c r="I147" s="9"/>
      <c r="J147" s="9"/>
      <c r="K147" s="9"/>
      <c r="L147" s="64"/>
      <c r="M147" s="9"/>
      <c r="N147" s="9"/>
      <c r="O147" s="9"/>
      <c r="P147" s="9"/>
      <c r="Q147" s="9"/>
      <c r="R147" s="64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</row>
    <row r="148" spans="2:30" x14ac:dyDescent="0.2">
      <c r="B148" s="2" t="s">
        <v>944</v>
      </c>
      <c r="C148" s="1">
        <v>0.17899999999999999</v>
      </c>
      <c r="D148" s="1" t="s">
        <v>1002</v>
      </c>
      <c r="E148" s="1" t="s">
        <v>49</v>
      </c>
      <c r="F148" s="1" t="s">
        <v>9</v>
      </c>
      <c r="G148" s="1">
        <v>6.9900000000000004E-2</v>
      </c>
      <c r="H148" s="9"/>
      <c r="I148" s="9"/>
      <c r="J148" s="9"/>
      <c r="K148" s="9"/>
      <c r="L148" s="64"/>
      <c r="M148" s="9"/>
      <c r="N148" s="9"/>
      <c r="O148" s="9"/>
      <c r="P148" s="9"/>
      <c r="Q148" s="9"/>
      <c r="R148" s="64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</row>
    <row r="149" spans="2:30" x14ac:dyDescent="0.2">
      <c r="F149" s="27"/>
      <c r="H149" s="9"/>
      <c r="I149" s="9"/>
      <c r="J149" s="9"/>
      <c r="K149" s="9"/>
      <c r="L149" s="64"/>
      <c r="M149" s="9"/>
      <c r="N149" s="9"/>
      <c r="O149" s="9"/>
      <c r="P149" s="9"/>
      <c r="Q149" s="9"/>
      <c r="R149" s="64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</row>
    <row r="150" spans="2:30" x14ac:dyDescent="0.2">
      <c r="B150" s="68"/>
      <c r="C150" s="68"/>
      <c r="D150" s="68"/>
      <c r="E150" s="68"/>
      <c r="F150" s="64"/>
      <c r="G150" s="9"/>
      <c r="H150" s="9"/>
      <c r="I150" s="9"/>
      <c r="J150" s="9"/>
      <c r="K150" s="9"/>
      <c r="L150" s="64"/>
      <c r="M150" s="9"/>
      <c r="N150" s="9"/>
      <c r="O150" s="9"/>
      <c r="P150" s="9"/>
      <c r="Q150" s="9"/>
      <c r="R150" s="64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</row>
    <row r="151" spans="2:30" x14ac:dyDescent="0.2">
      <c r="B151" s="68"/>
      <c r="C151" s="68"/>
      <c r="D151" s="68"/>
      <c r="E151" s="68"/>
      <c r="F151" s="64"/>
      <c r="G151" s="9"/>
      <c r="H151" s="9"/>
      <c r="I151" s="9"/>
      <c r="J151" s="9"/>
      <c r="K151" s="9"/>
      <c r="L151" s="64"/>
      <c r="M151" s="9"/>
      <c r="N151" s="9"/>
      <c r="O151" s="9"/>
      <c r="P151" s="9"/>
      <c r="Q151" s="9"/>
      <c r="R151" s="64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</row>
    <row r="152" spans="2:30" x14ac:dyDescent="0.2">
      <c r="B152" s="68"/>
      <c r="C152" s="68"/>
      <c r="D152" s="68"/>
      <c r="E152" s="68"/>
      <c r="F152" s="64"/>
      <c r="G152" s="9"/>
      <c r="H152" s="9"/>
      <c r="I152" s="9"/>
      <c r="J152" s="9"/>
      <c r="K152" s="9"/>
      <c r="L152" s="64"/>
      <c r="M152" s="9"/>
      <c r="N152" s="9"/>
      <c r="O152" s="9"/>
      <c r="P152" s="9"/>
      <c r="Q152" s="9"/>
      <c r="R152" s="64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</row>
    <row r="153" spans="2:30" x14ac:dyDescent="0.2">
      <c r="B153" s="52" t="s">
        <v>1054</v>
      </c>
      <c r="C153" s="68"/>
      <c r="D153" s="68"/>
      <c r="E153" s="68"/>
      <c r="F153" s="64"/>
      <c r="G153" s="9"/>
      <c r="H153" s="9"/>
      <c r="I153" s="9"/>
      <c r="J153" s="9"/>
      <c r="K153" s="9"/>
      <c r="L153" s="64"/>
      <c r="M153" s="9"/>
      <c r="N153" s="9"/>
      <c r="O153" s="9"/>
      <c r="P153" s="9"/>
      <c r="Q153" s="9"/>
      <c r="R153" s="64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</row>
    <row r="154" spans="2:30" x14ac:dyDescent="0.2">
      <c r="B154" s="68"/>
      <c r="C154" s="68"/>
      <c r="D154" s="68"/>
      <c r="E154" s="68"/>
      <c r="F154" s="64"/>
      <c r="G154" s="9"/>
      <c r="H154" s="9"/>
      <c r="I154" s="9"/>
      <c r="J154" s="9"/>
      <c r="K154" s="9"/>
      <c r="L154" s="64"/>
      <c r="M154" s="9"/>
      <c r="N154" s="9"/>
      <c r="O154" s="9"/>
      <c r="P154" s="9"/>
      <c r="Q154" s="9"/>
      <c r="R154" s="64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</row>
    <row r="155" spans="2:30" x14ac:dyDescent="0.2">
      <c r="B155" s="9"/>
      <c r="C155" s="52"/>
      <c r="D155" s="9"/>
      <c r="E155" s="137"/>
      <c r="F155" s="21"/>
      <c r="G155" s="9"/>
      <c r="H155" s="9"/>
      <c r="I155" s="52"/>
      <c r="J155" s="9"/>
      <c r="K155" s="137"/>
      <c r="L155" s="21"/>
      <c r="M155" s="9"/>
      <c r="N155" s="9"/>
      <c r="O155" s="52"/>
      <c r="P155" s="9"/>
      <c r="Q155" s="137"/>
      <c r="R155" s="21"/>
      <c r="S155" s="9"/>
      <c r="T155" s="9"/>
      <c r="U155" s="52"/>
      <c r="V155" s="9"/>
      <c r="W155" s="137"/>
      <c r="X155" s="21"/>
      <c r="Y155" s="9"/>
      <c r="Z155" s="9"/>
      <c r="AA155" s="9"/>
      <c r="AB155" s="9"/>
      <c r="AC155" s="9"/>
      <c r="AD155" s="9"/>
    </row>
    <row r="156" spans="2:30" x14ac:dyDescent="0.2">
      <c r="B156" s="175" t="s">
        <v>980</v>
      </c>
      <c r="C156" s="316" t="s">
        <v>298</v>
      </c>
      <c r="D156" s="316" t="s">
        <v>943</v>
      </c>
      <c r="E156" s="316" t="s">
        <v>944</v>
      </c>
      <c r="F156" s="21"/>
      <c r="G156" s="9"/>
      <c r="H156" s="175" t="s">
        <v>194</v>
      </c>
      <c r="I156" s="316" t="s">
        <v>298</v>
      </c>
      <c r="J156" s="316" t="s">
        <v>943</v>
      </c>
      <c r="K156" s="316" t="s">
        <v>944</v>
      </c>
      <c r="L156" s="21"/>
      <c r="M156" s="9"/>
      <c r="N156" s="175" t="s">
        <v>197</v>
      </c>
      <c r="O156" s="316" t="s">
        <v>298</v>
      </c>
      <c r="P156" s="316" t="s">
        <v>943</v>
      </c>
      <c r="Q156" s="316" t="s">
        <v>944</v>
      </c>
      <c r="R156" s="21"/>
      <c r="S156" s="9"/>
      <c r="T156" s="175" t="s">
        <v>200</v>
      </c>
      <c r="U156" s="316" t="s">
        <v>298</v>
      </c>
      <c r="V156" s="316" t="s">
        <v>943</v>
      </c>
      <c r="W156" s="316" t="s">
        <v>944</v>
      </c>
      <c r="X156" s="21"/>
      <c r="Y156" s="9"/>
      <c r="Z156" s="9"/>
      <c r="AA156" s="9"/>
      <c r="AB156" s="9"/>
      <c r="AC156" s="9"/>
      <c r="AD156" s="9"/>
    </row>
    <row r="157" spans="2:30" x14ac:dyDescent="0.2">
      <c r="B157" s="444" t="s">
        <v>957</v>
      </c>
      <c r="C157" s="318" t="s">
        <v>990</v>
      </c>
      <c r="D157" s="318" t="s">
        <v>990</v>
      </c>
      <c r="E157" s="318" t="s">
        <v>990</v>
      </c>
      <c r="F157" s="325"/>
      <c r="G157" s="9"/>
      <c r="H157" s="444" t="s">
        <v>957</v>
      </c>
      <c r="I157" s="318" t="s">
        <v>990</v>
      </c>
      <c r="J157" s="318" t="s">
        <v>990</v>
      </c>
      <c r="K157" s="318" t="s">
        <v>990</v>
      </c>
      <c r="L157" s="325"/>
      <c r="M157" s="9"/>
      <c r="N157" s="444" t="s">
        <v>957</v>
      </c>
      <c r="O157" s="318" t="s">
        <v>990</v>
      </c>
      <c r="P157" s="318" t="s">
        <v>990</v>
      </c>
      <c r="Q157" s="318" t="s">
        <v>990</v>
      </c>
      <c r="R157" s="325"/>
      <c r="S157" s="9"/>
      <c r="T157" s="444" t="s">
        <v>957</v>
      </c>
      <c r="U157" s="318" t="s">
        <v>990</v>
      </c>
      <c r="V157" s="318" t="s">
        <v>990</v>
      </c>
      <c r="W157" s="318" t="s">
        <v>990</v>
      </c>
      <c r="X157" s="325"/>
      <c r="Y157" s="9"/>
      <c r="Z157" s="9"/>
      <c r="AA157" s="9"/>
      <c r="AB157" s="9"/>
      <c r="AC157" s="9"/>
      <c r="AD157" s="9"/>
    </row>
    <row r="158" spans="2:30" x14ac:dyDescent="0.2">
      <c r="B158" s="11">
        <v>1</v>
      </c>
      <c r="C158" s="17">
        <v>0.33999999999999997</v>
      </c>
      <c r="D158" s="17">
        <v>0.55000000000000004</v>
      </c>
      <c r="E158" s="13">
        <v>0.52999999999999992</v>
      </c>
      <c r="F158" s="406"/>
      <c r="G158" s="9"/>
      <c r="H158" s="11">
        <v>1</v>
      </c>
      <c r="I158" s="17">
        <v>0.37999999999999989</v>
      </c>
      <c r="J158" s="13">
        <v>0.05</v>
      </c>
      <c r="K158" s="17">
        <v>0.02</v>
      </c>
      <c r="L158" s="406"/>
      <c r="M158" s="320"/>
      <c r="N158" s="11">
        <v>1</v>
      </c>
      <c r="O158" s="13">
        <v>0.49597855227882048</v>
      </c>
      <c r="P158" s="17">
        <v>0.19000000000000006</v>
      </c>
      <c r="Q158" s="407"/>
      <c r="R158" s="406"/>
      <c r="S158" s="320"/>
      <c r="T158" s="11">
        <v>1</v>
      </c>
      <c r="U158" s="13">
        <v>0.37564766839378239</v>
      </c>
      <c r="V158" s="17">
        <v>0.19999999999999996</v>
      </c>
      <c r="W158" s="319"/>
      <c r="X158" s="321"/>
      <c r="Y158" s="9"/>
      <c r="Z158" s="9"/>
      <c r="AA158" s="9"/>
      <c r="AB158" s="9"/>
      <c r="AC158" s="9"/>
      <c r="AD158" s="9"/>
    </row>
    <row r="159" spans="2:30" x14ac:dyDescent="0.2">
      <c r="B159" s="11">
        <v>2</v>
      </c>
      <c r="C159" s="17">
        <v>0.33999999999999986</v>
      </c>
      <c r="D159" s="17">
        <v>0.56999999999999995</v>
      </c>
      <c r="E159" s="13">
        <v>0.51999999999999991</v>
      </c>
      <c r="F159" s="406"/>
      <c r="G159" s="9"/>
      <c r="H159" s="11">
        <v>2</v>
      </c>
      <c r="I159" s="17">
        <v>0.37999999999999989</v>
      </c>
      <c r="J159" s="13">
        <v>2.2889842632331958E-2</v>
      </c>
      <c r="K159" s="17">
        <v>0.04</v>
      </c>
      <c r="L159" s="406"/>
      <c r="M159" s="320"/>
      <c r="N159" s="11">
        <v>2</v>
      </c>
      <c r="O159" s="13">
        <v>0.37533512064343166</v>
      </c>
      <c r="P159" s="17">
        <v>0.17999999999999994</v>
      </c>
      <c r="Q159" s="407"/>
      <c r="R159" s="406"/>
      <c r="S159" s="320"/>
      <c r="T159" s="11">
        <v>2</v>
      </c>
      <c r="U159" s="13">
        <v>0.34974093264248707</v>
      </c>
      <c r="V159" s="17">
        <v>0.20999999999999996</v>
      </c>
      <c r="W159" s="319"/>
      <c r="X159" s="321"/>
      <c r="Y159" s="9"/>
      <c r="Z159" s="9"/>
      <c r="AA159" s="9"/>
      <c r="AB159" s="9"/>
      <c r="AC159" s="9"/>
      <c r="AD159" s="9"/>
    </row>
    <row r="160" spans="2:30" x14ac:dyDescent="0.2">
      <c r="B160" s="11">
        <v>3</v>
      </c>
      <c r="C160" s="17">
        <v>0.32999999999999996</v>
      </c>
      <c r="D160" s="17">
        <v>0.43999999999999995</v>
      </c>
      <c r="E160" s="13">
        <v>0.56999999999999995</v>
      </c>
      <c r="F160" s="406"/>
      <c r="G160" s="9"/>
      <c r="H160" s="11">
        <v>3</v>
      </c>
      <c r="I160" s="17">
        <v>0.3600000000000001</v>
      </c>
      <c r="J160" s="13">
        <v>0.02</v>
      </c>
      <c r="K160" s="17">
        <v>0.02</v>
      </c>
      <c r="L160" s="406"/>
      <c r="M160" s="320"/>
      <c r="N160" s="11">
        <v>3</v>
      </c>
      <c r="O160" s="13">
        <v>0.45576407506702421</v>
      </c>
      <c r="P160" s="17">
        <v>0.19000000000000006</v>
      </c>
      <c r="Q160" s="407"/>
      <c r="R160" s="406"/>
      <c r="S160" s="320"/>
      <c r="T160" s="11">
        <v>3</v>
      </c>
      <c r="U160" s="13">
        <v>0.34974093264248707</v>
      </c>
      <c r="V160" s="17"/>
      <c r="W160" s="319"/>
      <c r="X160" s="321"/>
      <c r="Y160" s="9"/>
      <c r="Z160" s="9"/>
      <c r="AA160" s="9"/>
      <c r="AB160" s="9"/>
      <c r="AC160" s="9"/>
      <c r="AD160" s="9"/>
    </row>
    <row r="161" spans="2:30" x14ac:dyDescent="0.2">
      <c r="B161" s="11">
        <v>4</v>
      </c>
      <c r="C161" s="17">
        <v>0.30999999999999994</v>
      </c>
      <c r="D161" s="17">
        <v>0.54</v>
      </c>
      <c r="E161" s="13">
        <v>0.56999999999999995</v>
      </c>
      <c r="F161" s="406"/>
      <c r="G161" s="9"/>
      <c r="H161" s="11">
        <v>4</v>
      </c>
      <c r="I161" s="17">
        <v>0.41999999999999993</v>
      </c>
      <c r="J161" s="13">
        <v>0.02</v>
      </c>
      <c r="K161" s="17">
        <v>0.03</v>
      </c>
      <c r="L161" s="406"/>
      <c r="M161" s="320"/>
      <c r="N161" s="11">
        <v>4</v>
      </c>
      <c r="O161" s="13">
        <v>0.45576407506702421</v>
      </c>
      <c r="P161" s="17">
        <v>0.19000000000000006</v>
      </c>
      <c r="Q161" s="407"/>
      <c r="R161" s="406"/>
      <c r="S161" s="320"/>
      <c r="T161" s="11">
        <v>4</v>
      </c>
      <c r="U161" s="13">
        <v>0.36269430051813467</v>
      </c>
      <c r="V161" s="17"/>
      <c r="W161" s="319"/>
      <c r="X161" s="321"/>
      <c r="Y161" s="9"/>
      <c r="Z161" s="9"/>
      <c r="AA161" s="9"/>
      <c r="AB161" s="9"/>
      <c r="AC161" s="9"/>
      <c r="AD161" s="9"/>
    </row>
    <row r="162" spans="2:30" x14ac:dyDescent="0.2">
      <c r="B162" s="11">
        <v>5</v>
      </c>
      <c r="C162" s="17">
        <v>0.34999999999999987</v>
      </c>
      <c r="D162" s="17">
        <v>0.56999999999999995</v>
      </c>
      <c r="E162" s="13">
        <v>0.5099999999999999</v>
      </c>
      <c r="F162" s="406"/>
      <c r="G162" s="9"/>
      <c r="H162" s="11">
        <v>5</v>
      </c>
      <c r="I162" s="17">
        <v>0.44999999999999996</v>
      </c>
      <c r="J162" s="13"/>
      <c r="K162" s="17"/>
      <c r="L162" s="406"/>
      <c r="M162" s="320"/>
      <c r="N162" s="11">
        <v>5</v>
      </c>
      <c r="O162" s="13">
        <v>0.52</v>
      </c>
      <c r="P162" s="17">
        <v>0.22999999999999998</v>
      </c>
      <c r="Q162" s="407"/>
      <c r="R162" s="406"/>
      <c r="S162" s="320"/>
      <c r="T162" s="11">
        <v>5</v>
      </c>
      <c r="U162" s="13">
        <v>0.32383419689119175</v>
      </c>
      <c r="V162" s="17"/>
      <c r="W162" s="319"/>
      <c r="X162" s="321"/>
      <c r="Y162" s="9"/>
      <c r="Z162" s="9"/>
      <c r="AA162" s="9"/>
      <c r="AB162" s="9"/>
      <c r="AC162" s="9"/>
      <c r="AD162" s="9"/>
    </row>
    <row r="163" spans="2:30" x14ac:dyDescent="0.2">
      <c r="B163" s="11">
        <v>6</v>
      </c>
      <c r="C163" s="17">
        <v>0.32999999999999996</v>
      </c>
      <c r="D163" s="17">
        <v>0.48</v>
      </c>
      <c r="E163" s="13">
        <v>0.49999999999999989</v>
      </c>
      <c r="F163" s="406"/>
      <c r="G163" s="9"/>
      <c r="H163" s="11">
        <v>6</v>
      </c>
      <c r="I163" s="17">
        <v>0.41999999999999993</v>
      </c>
      <c r="J163" s="13"/>
      <c r="K163" s="17"/>
      <c r="L163" s="64"/>
      <c r="M163" s="9"/>
      <c r="N163" s="11">
        <v>6</v>
      </c>
      <c r="O163" s="13">
        <v>0.44</v>
      </c>
      <c r="P163" s="17">
        <v>0.18000000000000005</v>
      </c>
      <c r="Q163" s="407"/>
      <c r="R163" s="64"/>
      <c r="S163" s="9"/>
      <c r="T163" s="11">
        <v>6</v>
      </c>
      <c r="U163" s="13">
        <v>0.41450777202072553</v>
      </c>
      <c r="V163" s="17"/>
      <c r="W163" s="319"/>
      <c r="X163" s="321"/>
      <c r="Y163" s="9"/>
      <c r="Z163" s="9"/>
      <c r="AA163" s="9"/>
      <c r="AB163" s="9"/>
      <c r="AC163" s="9"/>
      <c r="AD163" s="9"/>
    </row>
    <row r="164" spans="2:30" x14ac:dyDescent="0.2">
      <c r="B164" s="11">
        <v>7</v>
      </c>
      <c r="C164" s="17">
        <v>0.33999999999999986</v>
      </c>
      <c r="D164" s="17">
        <v>0.43999999999999995</v>
      </c>
      <c r="E164" s="13">
        <v>0.3899999999999999</v>
      </c>
      <c r="F164" s="406"/>
      <c r="G164" s="9"/>
      <c r="H164" s="11">
        <v>7</v>
      </c>
      <c r="I164" s="17">
        <v>0.5099999999999999</v>
      </c>
      <c r="J164" s="17"/>
      <c r="K164" s="17"/>
      <c r="L164" s="64"/>
      <c r="M164" s="9"/>
      <c r="N164" s="11">
        <v>7</v>
      </c>
      <c r="O164" s="13">
        <v>0.57999999999999996</v>
      </c>
      <c r="P164" s="17">
        <v>0.22000000000000008</v>
      </c>
      <c r="Q164" s="407"/>
      <c r="R164" s="64"/>
      <c r="S164" s="9"/>
      <c r="T164" s="11">
        <v>7</v>
      </c>
      <c r="U164" s="13">
        <v>0.33678756476683935</v>
      </c>
      <c r="V164" s="17"/>
      <c r="W164" s="319"/>
      <c r="X164" s="321"/>
      <c r="Y164" s="9"/>
      <c r="Z164" s="9"/>
      <c r="AA164" s="9"/>
      <c r="AB164" s="9"/>
      <c r="AC164" s="9"/>
      <c r="AD164" s="9"/>
    </row>
    <row r="165" spans="2:30" x14ac:dyDescent="0.2">
      <c r="B165" s="11">
        <v>8</v>
      </c>
      <c r="C165" s="17">
        <v>0.41999999999999993</v>
      </c>
      <c r="D165" s="17">
        <v>0.53</v>
      </c>
      <c r="E165" s="13">
        <v>0.36999999999999988</v>
      </c>
      <c r="F165" s="406"/>
      <c r="G165" s="9"/>
      <c r="H165" s="69" t="s">
        <v>51</v>
      </c>
      <c r="I165" s="17">
        <f>AVERAGE(I158:I164)</f>
        <v>0.41714285714285709</v>
      </c>
      <c r="J165" s="17">
        <f t="shared" ref="J165:K165" si="12">AVERAGE(J158:J164)</f>
        <v>2.8222460658082992E-2</v>
      </c>
      <c r="K165" s="17">
        <f t="shared" si="12"/>
        <v>2.75E-2</v>
      </c>
      <c r="L165" s="64"/>
      <c r="M165" s="9"/>
      <c r="N165" s="69" t="s">
        <v>51</v>
      </c>
      <c r="O165" s="13">
        <f>AVERAGE(O158:O164)</f>
        <v>0.47469168900804293</v>
      </c>
      <c r="P165" s="13">
        <f>AVERAGE(P158:P164)</f>
        <v>0.1971428571428572</v>
      </c>
      <c r="Q165" s="17"/>
      <c r="R165" s="64"/>
      <c r="S165" s="9"/>
      <c r="T165" s="69" t="s">
        <v>51</v>
      </c>
      <c r="U165" s="13">
        <f>AVERAGE(U158:U164)</f>
        <v>0.35899333826794966</v>
      </c>
      <c r="V165" s="13">
        <f>AVERAGE(V158:V164)</f>
        <v>0.20499999999999996</v>
      </c>
      <c r="W165" s="17"/>
      <c r="X165" s="64"/>
      <c r="Y165" s="9"/>
      <c r="Z165" s="9"/>
      <c r="AA165" s="9"/>
      <c r="AB165" s="9"/>
      <c r="AC165" s="9"/>
      <c r="AD165" s="9"/>
    </row>
    <row r="166" spans="2:30" x14ac:dyDescent="0.2">
      <c r="B166" s="11">
        <v>9</v>
      </c>
      <c r="C166" s="17">
        <v>0.35999999999999988</v>
      </c>
      <c r="D166" s="17">
        <v>0.56999999999999995</v>
      </c>
      <c r="E166" s="13">
        <v>0.35999999999999988</v>
      </c>
      <c r="F166" s="406"/>
      <c r="G166" s="9"/>
      <c r="H166" s="9"/>
      <c r="I166" s="9"/>
      <c r="J166" s="9"/>
      <c r="K166" s="9"/>
      <c r="L166" s="64"/>
      <c r="M166" s="9"/>
      <c r="N166" s="9"/>
      <c r="O166" s="9"/>
      <c r="P166" s="9"/>
      <c r="Q166" s="9"/>
      <c r="R166" s="64"/>
      <c r="S166" s="9"/>
      <c r="T166" s="9"/>
      <c r="U166" s="9"/>
      <c r="V166" s="9"/>
      <c r="W166" s="9"/>
      <c r="X166" s="64"/>
      <c r="Y166" s="9"/>
      <c r="Z166" s="9"/>
      <c r="AA166" s="9"/>
      <c r="AB166" s="9"/>
      <c r="AC166" s="9"/>
      <c r="AD166" s="9"/>
    </row>
    <row r="167" spans="2:30" x14ac:dyDescent="0.2">
      <c r="B167" s="11">
        <v>10</v>
      </c>
      <c r="C167" s="17">
        <v>0.12</v>
      </c>
      <c r="D167" s="17">
        <v>0.52</v>
      </c>
      <c r="E167" s="13">
        <v>0.35999999999999988</v>
      </c>
      <c r="F167" s="406"/>
      <c r="G167" s="9"/>
      <c r="H167" s="9"/>
      <c r="I167" s="9"/>
      <c r="J167" s="9"/>
      <c r="K167" s="9"/>
      <c r="L167" s="64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64"/>
      <c r="Y167" s="9"/>
      <c r="Z167" s="9"/>
      <c r="AA167" s="9"/>
      <c r="AB167" s="9"/>
      <c r="AC167" s="9"/>
      <c r="AD167" s="9"/>
    </row>
    <row r="168" spans="2:30" x14ac:dyDescent="0.2">
      <c r="B168" s="11">
        <v>11</v>
      </c>
      <c r="C168" s="17">
        <v>0.30999999999999994</v>
      </c>
      <c r="D168" s="17">
        <v>0.65000000000000013</v>
      </c>
      <c r="E168" s="13">
        <v>0.28999999999999992</v>
      </c>
      <c r="F168" s="406"/>
      <c r="G168" s="9"/>
      <c r="H168" s="9"/>
      <c r="I168" s="9"/>
      <c r="J168" s="9"/>
      <c r="K168" s="9"/>
      <c r="L168" s="64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64"/>
      <c r="Y168" s="9"/>
      <c r="Z168" s="9"/>
      <c r="AA168" s="9"/>
      <c r="AB168" s="9"/>
      <c r="AC168" s="9"/>
      <c r="AD168" s="9"/>
    </row>
    <row r="169" spans="2:30" x14ac:dyDescent="0.2">
      <c r="B169" s="11">
        <v>12</v>
      </c>
      <c r="C169" s="17">
        <v>0.33999999999999997</v>
      </c>
      <c r="D169" s="17">
        <v>0.65000000000000013</v>
      </c>
      <c r="E169" s="13">
        <v>0.27999999999999992</v>
      </c>
      <c r="F169" s="406"/>
      <c r="G169" s="9"/>
      <c r="H169" s="9"/>
      <c r="I169" s="9"/>
      <c r="J169" s="9"/>
      <c r="K169" s="9"/>
      <c r="L169" s="64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64"/>
      <c r="Y169" s="9"/>
      <c r="Z169" s="9"/>
      <c r="AA169" s="9"/>
      <c r="AB169" s="9"/>
      <c r="AC169" s="9"/>
      <c r="AD169" s="9"/>
    </row>
    <row r="170" spans="2:30" x14ac:dyDescent="0.2">
      <c r="B170" s="11">
        <v>13</v>
      </c>
      <c r="C170" s="17">
        <v>0.33999999999999997</v>
      </c>
      <c r="D170" s="17">
        <v>0.62999999999999989</v>
      </c>
      <c r="E170" s="13">
        <v>0.26999999999999991</v>
      </c>
      <c r="F170" s="406"/>
      <c r="G170" s="9"/>
      <c r="H170" s="9"/>
      <c r="I170" s="9"/>
      <c r="J170" s="9"/>
      <c r="K170" s="9"/>
      <c r="L170" s="64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64"/>
      <c r="Y170" s="9"/>
      <c r="Z170" s="9"/>
      <c r="AA170" s="9"/>
      <c r="AB170" s="9"/>
      <c r="AC170" s="9"/>
      <c r="AD170" s="9"/>
    </row>
    <row r="171" spans="2:30" x14ac:dyDescent="0.2">
      <c r="B171" s="69" t="s">
        <v>51</v>
      </c>
      <c r="C171" s="315">
        <f>AVERAGE(C158:C170)</f>
        <v>0.32538461538461533</v>
      </c>
      <c r="D171" s="315">
        <f t="shared" ref="D171:E171" si="13">AVERAGE(D158:D170)</f>
        <v>0.5492307692307693</v>
      </c>
      <c r="E171" s="315">
        <f t="shared" si="13"/>
        <v>0.42461538461538445</v>
      </c>
      <c r="F171" s="406"/>
      <c r="G171" s="9"/>
      <c r="H171" s="9"/>
      <c r="I171" s="9"/>
      <c r="J171" s="9"/>
      <c r="K171" s="9"/>
      <c r="L171" s="64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</row>
    <row r="172" spans="2:30" x14ac:dyDescent="0.2">
      <c r="B172" s="64"/>
      <c r="C172" s="406"/>
      <c r="D172" s="406"/>
      <c r="E172" s="406"/>
      <c r="F172" s="406"/>
      <c r="G172" s="9"/>
      <c r="H172" s="9"/>
      <c r="I172" s="9"/>
      <c r="J172" s="9"/>
      <c r="K172" s="9"/>
      <c r="L172" s="64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</row>
    <row r="173" spans="2:30" x14ac:dyDescent="0.2">
      <c r="B173" s="9"/>
      <c r="C173" s="52"/>
      <c r="D173" s="9"/>
      <c r="E173" s="137"/>
      <c r="F173" s="21"/>
      <c r="G173" s="9"/>
      <c r="H173" s="9"/>
      <c r="I173" s="52"/>
      <c r="J173" s="9"/>
      <c r="K173" s="137"/>
      <c r="L173" s="21"/>
      <c r="M173" s="320"/>
      <c r="N173" s="9"/>
      <c r="O173" s="52"/>
      <c r="P173" s="9"/>
      <c r="Q173" s="137"/>
      <c r="R173" s="21"/>
      <c r="S173" s="320"/>
      <c r="T173" s="9"/>
      <c r="U173" s="52"/>
      <c r="V173" s="9"/>
      <c r="W173" s="137"/>
      <c r="X173" s="9"/>
      <c r="Y173" s="9"/>
      <c r="Z173" s="9"/>
      <c r="AA173" s="9"/>
      <c r="AB173" s="9"/>
      <c r="AC173" s="9"/>
      <c r="AD173" s="9"/>
    </row>
    <row r="174" spans="2:30" x14ac:dyDescent="0.2">
      <c r="B174" s="175" t="s">
        <v>979</v>
      </c>
      <c r="C174" s="316" t="s">
        <v>298</v>
      </c>
      <c r="D174" s="316" t="s">
        <v>943</v>
      </c>
      <c r="E174" s="316" t="s">
        <v>944</v>
      </c>
      <c r="F174" s="21"/>
      <c r="G174" s="9"/>
      <c r="H174" s="175" t="s">
        <v>195</v>
      </c>
      <c r="I174" s="316" t="s">
        <v>298</v>
      </c>
      <c r="J174" s="316" t="s">
        <v>943</v>
      </c>
      <c r="K174" s="316" t="s">
        <v>944</v>
      </c>
      <c r="L174" s="21"/>
      <c r="M174" s="320"/>
      <c r="N174" s="175" t="s">
        <v>198</v>
      </c>
      <c r="O174" s="316" t="s">
        <v>298</v>
      </c>
      <c r="P174" s="316" t="s">
        <v>943</v>
      </c>
      <c r="Q174" s="316" t="s">
        <v>944</v>
      </c>
      <c r="R174" s="21"/>
      <c r="S174" s="320"/>
      <c r="T174" s="175" t="s">
        <v>201</v>
      </c>
      <c r="U174" s="316" t="s">
        <v>298</v>
      </c>
      <c r="V174" s="316" t="s">
        <v>943</v>
      </c>
      <c r="W174" s="316" t="s">
        <v>944</v>
      </c>
      <c r="X174" s="9"/>
      <c r="Y174" s="9"/>
      <c r="Z174" s="9"/>
      <c r="AA174" s="9"/>
      <c r="AB174" s="9"/>
      <c r="AC174" s="9"/>
      <c r="AD174" s="9"/>
    </row>
    <row r="175" spans="2:30" x14ac:dyDescent="0.2">
      <c r="B175" s="444" t="s">
        <v>957</v>
      </c>
      <c r="C175" s="318" t="s">
        <v>990</v>
      </c>
      <c r="D175" s="318" t="s">
        <v>990</v>
      </c>
      <c r="E175" s="318" t="s">
        <v>990</v>
      </c>
      <c r="F175" s="325"/>
      <c r="G175" s="9"/>
      <c r="H175" s="444" t="s">
        <v>957</v>
      </c>
      <c r="I175" s="318" t="s">
        <v>990</v>
      </c>
      <c r="J175" s="318" t="s">
        <v>990</v>
      </c>
      <c r="K175" s="318" t="s">
        <v>990</v>
      </c>
      <c r="L175" s="325"/>
      <c r="M175" s="320"/>
      <c r="N175" s="444" t="s">
        <v>957</v>
      </c>
      <c r="O175" s="318" t="s">
        <v>990</v>
      </c>
      <c r="P175" s="318" t="s">
        <v>990</v>
      </c>
      <c r="Q175" s="318" t="s">
        <v>990</v>
      </c>
      <c r="R175" s="325"/>
      <c r="S175" s="320"/>
      <c r="T175" s="444" t="s">
        <v>957</v>
      </c>
      <c r="U175" s="318" t="s">
        <v>990</v>
      </c>
      <c r="V175" s="318" t="s">
        <v>990</v>
      </c>
      <c r="W175" s="318" t="s">
        <v>990</v>
      </c>
      <c r="X175" s="9"/>
      <c r="Y175" s="9"/>
      <c r="Z175" s="9"/>
      <c r="AA175" s="9"/>
      <c r="AB175" s="9"/>
      <c r="AC175" s="9"/>
      <c r="AD175" s="9"/>
    </row>
    <row r="176" spans="2:30" x14ac:dyDescent="0.2">
      <c r="B176" s="11">
        <v>1</v>
      </c>
      <c r="C176" s="17">
        <v>0.19000000000000006</v>
      </c>
      <c r="D176" s="17">
        <v>0.73</v>
      </c>
      <c r="E176" s="13">
        <v>0.56000000000000005</v>
      </c>
      <c r="F176" s="406"/>
      <c r="G176" s="9"/>
      <c r="H176" s="11">
        <v>1</v>
      </c>
      <c r="I176" s="17">
        <v>0.67</v>
      </c>
      <c r="J176" s="13">
        <v>0.67</v>
      </c>
      <c r="K176" s="17">
        <v>0.33</v>
      </c>
      <c r="L176" s="406"/>
      <c r="M176" s="320"/>
      <c r="N176" s="11">
        <v>1</v>
      </c>
      <c r="O176" s="13">
        <v>0.24579560155239333</v>
      </c>
      <c r="P176" s="13">
        <v>0.2196078431372549</v>
      </c>
      <c r="Q176" s="13">
        <v>0.04</v>
      </c>
      <c r="R176" s="321"/>
      <c r="S176" s="320"/>
      <c r="T176" s="11">
        <v>1</v>
      </c>
      <c r="U176" s="13">
        <v>0.71225071225071213</v>
      </c>
      <c r="V176" s="17">
        <v>0.22</v>
      </c>
      <c r="W176" s="13">
        <v>0.03</v>
      </c>
      <c r="X176" s="9"/>
      <c r="Y176" s="9"/>
      <c r="Z176" s="9"/>
      <c r="AA176" s="9"/>
      <c r="AB176" s="9"/>
      <c r="AC176" s="9"/>
      <c r="AD176" s="9"/>
    </row>
    <row r="177" spans="2:30" x14ac:dyDescent="0.2">
      <c r="B177" s="11">
        <v>2</v>
      </c>
      <c r="C177" s="17">
        <v>0.27000000000000013</v>
      </c>
      <c r="D177" s="17">
        <v>0.73</v>
      </c>
      <c r="E177" s="13">
        <v>0.53</v>
      </c>
      <c r="F177" s="406"/>
      <c r="G177" s="9"/>
      <c r="H177" s="11">
        <v>2</v>
      </c>
      <c r="I177" s="17">
        <v>0.44999999999999996</v>
      </c>
      <c r="J177" s="13"/>
      <c r="K177" s="17"/>
      <c r="L177" s="406"/>
      <c r="M177" s="320"/>
      <c r="N177" s="11">
        <v>2</v>
      </c>
      <c r="O177" s="13">
        <v>0.31047865459249691</v>
      </c>
      <c r="P177" s="13">
        <v>0.13725490196078427</v>
      </c>
      <c r="Q177" s="13">
        <v>0.03</v>
      </c>
      <c r="R177" s="321"/>
      <c r="S177" s="320"/>
      <c r="T177" s="11">
        <v>2</v>
      </c>
      <c r="U177" s="13">
        <v>0.75498575498575493</v>
      </c>
      <c r="V177" s="17">
        <v>0.26</v>
      </c>
      <c r="W177" s="17"/>
      <c r="X177" s="9"/>
      <c r="Y177" s="9"/>
      <c r="Z177" s="9"/>
      <c r="AA177" s="9"/>
      <c r="AB177" s="9"/>
      <c r="AC177" s="9"/>
      <c r="AD177" s="9"/>
    </row>
    <row r="178" spans="2:30" x14ac:dyDescent="0.2">
      <c r="B178" s="11">
        <v>3</v>
      </c>
      <c r="C178" s="17">
        <v>0.33999999999999997</v>
      </c>
      <c r="D178" s="17">
        <v>0.71</v>
      </c>
      <c r="E178" s="13">
        <v>0.64</v>
      </c>
      <c r="F178" s="406"/>
      <c r="G178" s="9"/>
      <c r="H178" s="11">
        <v>3</v>
      </c>
      <c r="I178" s="17">
        <v>0.40999999999999992</v>
      </c>
      <c r="J178" s="13"/>
      <c r="K178" s="17"/>
      <c r="L178" s="406"/>
      <c r="M178" s="9"/>
      <c r="N178" s="11">
        <v>3</v>
      </c>
      <c r="O178" s="13">
        <v>0.40103492884864167</v>
      </c>
      <c r="P178" s="13">
        <v>0.17843137254901964</v>
      </c>
      <c r="Q178" s="13">
        <v>0.06</v>
      </c>
      <c r="R178" s="321"/>
      <c r="S178" s="9"/>
      <c r="T178" s="11">
        <v>3</v>
      </c>
      <c r="U178" s="13">
        <v>0.7407407407407407</v>
      </c>
      <c r="V178" s="17">
        <v>9.000000000000008E-2</v>
      </c>
      <c r="W178" s="17"/>
      <c r="X178" s="9"/>
      <c r="Y178" s="9"/>
      <c r="Z178" s="9"/>
      <c r="AA178" s="9"/>
      <c r="AB178" s="9"/>
      <c r="AC178" s="9"/>
      <c r="AD178" s="9"/>
    </row>
    <row r="179" spans="2:30" x14ac:dyDescent="0.2">
      <c r="B179" s="11">
        <v>4</v>
      </c>
      <c r="C179" s="17">
        <v>0.26999999999999991</v>
      </c>
      <c r="D179" s="17">
        <v>0.7</v>
      </c>
      <c r="E179" s="13">
        <v>0.78</v>
      </c>
      <c r="F179" s="406"/>
      <c r="G179" s="9"/>
      <c r="H179" s="11">
        <v>4</v>
      </c>
      <c r="I179" s="17">
        <v>0.43999999999999995</v>
      </c>
      <c r="J179" s="13"/>
      <c r="K179" s="17"/>
      <c r="L179" s="406"/>
      <c r="M179" s="9"/>
      <c r="N179" s="11">
        <v>4</v>
      </c>
      <c r="O179" s="13">
        <v>0.38809831824062102</v>
      </c>
      <c r="P179" s="13">
        <v>0.19215686274509813</v>
      </c>
      <c r="Q179" s="13">
        <v>0.05</v>
      </c>
      <c r="R179" s="321"/>
      <c r="S179" s="9"/>
      <c r="T179" s="11">
        <v>4</v>
      </c>
      <c r="U179" s="13">
        <v>0.65527065527065542</v>
      </c>
      <c r="V179" s="17">
        <v>0.16000000000000003</v>
      </c>
      <c r="W179" s="17"/>
      <c r="X179" s="9"/>
      <c r="Y179" s="9"/>
      <c r="Z179" s="9"/>
      <c r="AA179" s="9"/>
      <c r="AB179" s="9"/>
      <c r="AC179" s="9"/>
      <c r="AD179" s="9"/>
    </row>
    <row r="180" spans="2:30" x14ac:dyDescent="0.2">
      <c r="B180" s="11">
        <v>5</v>
      </c>
      <c r="C180" s="17">
        <v>0.39999999999999991</v>
      </c>
      <c r="D180" s="17">
        <v>0.69</v>
      </c>
      <c r="E180" s="13">
        <v>0.72</v>
      </c>
      <c r="F180" s="406"/>
      <c r="G180" s="9"/>
      <c r="H180" s="11">
        <v>5</v>
      </c>
      <c r="I180" s="17">
        <v>0.33</v>
      </c>
      <c r="J180" s="13"/>
      <c r="K180" s="17"/>
      <c r="L180" s="406"/>
      <c r="M180" s="9"/>
      <c r="N180" s="11">
        <v>5</v>
      </c>
      <c r="O180" s="13">
        <v>0.42</v>
      </c>
      <c r="P180" s="13">
        <v>0.28000000000000003</v>
      </c>
      <c r="Q180" s="13">
        <v>0.08</v>
      </c>
      <c r="R180" s="321"/>
      <c r="S180" s="9"/>
      <c r="T180" s="11">
        <v>5</v>
      </c>
      <c r="U180" s="13">
        <v>0.62</v>
      </c>
      <c r="V180" s="17">
        <v>0.48</v>
      </c>
      <c r="W180" s="17"/>
      <c r="X180" s="64"/>
      <c r="Y180" s="9"/>
      <c r="Z180" s="9"/>
      <c r="AA180" s="9"/>
      <c r="AB180" s="9"/>
      <c r="AC180" s="9"/>
      <c r="AD180" s="9"/>
    </row>
    <row r="181" spans="2:30" x14ac:dyDescent="0.2">
      <c r="B181" s="11">
        <v>6</v>
      </c>
      <c r="C181" s="17">
        <v>0.33999999999999997</v>
      </c>
      <c r="D181" s="17">
        <v>0.69</v>
      </c>
      <c r="E181" s="13">
        <v>0.88</v>
      </c>
      <c r="F181" s="406"/>
      <c r="G181" s="9"/>
      <c r="H181" s="11">
        <v>6</v>
      </c>
      <c r="I181" s="17">
        <v>0.49</v>
      </c>
      <c r="J181" s="13"/>
      <c r="K181" s="17"/>
      <c r="L181" s="64"/>
      <c r="M181" s="9"/>
      <c r="N181" s="11">
        <v>6</v>
      </c>
      <c r="O181" s="13">
        <v>0.25873221216041387</v>
      </c>
      <c r="P181" s="13">
        <v>0.20588235294117629</v>
      </c>
      <c r="Q181" s="13">
        <v>0.04</v>
      </c>
      <c r="R181" s="321"/>
      <c r="S181" s="9"/>
      <c r="T181" s="11">
        <v>6</v>
      </c>
      <c r="U181" s="13">
        <v>0.512820512820513</v>
      </c>
      <c r="V181" s="17">
        <v>0.47</v>
      </c>
      <c r="W181" s="17"/>
      <c r="X181" s="64"/>
      <c r="Y181" s="9"/>
      <c r="Z181" s="9"/>
      <c r="AA181" s="9"/>
      <c r="AB181" s="9"/>
      <c r="AC181" s="9"/>
      <c r="AD181" s="9"/>
    </row>
    <row r="182" spans="2:30" x14ac:dyDescent="0.2">
      <c r="B182" s="11">
        <v>7</v>
      </c>
      <c r="C182" s="17">
        <v>0.30999999999999994</v>
      </c>
      <c r="D182" s="17">
        <v>0.66000000000000014</v>
      </c>
      <c r="E182" s="13">
        <v>0.26999999999999991</v>
      </c>
      <c r="F182" s="406"/>
      <c r="G182" s="9"/>
      <c r="H182" s="11">
        <v>7</v>
      </c>
      <c r="I182" s="17">
        <v>0.28999999999999992</v>
      </c>
      <c r="J182" s="13"/>
      <c r="K182" s="17"/>
      <c r="L182" s="64"/>
      <c r="M182" s="9"/>
      <c r="N182" s="11">
        <v>7</v>
      </c>
      <c r="O182" s="13">
        <v>0.27166882276843463</v>
      </c>
      <c r="P182" s="13">
        <v>0.16470588235294115</v>
      </c>
      <c r="Q182" s="13">
        <v>0.03</v>
      </c>
      <c r="R182" s="321"/>
      <c r="S182" s="9"/>
      <c r="T182" s="11">
        <v>7</v>
      </c>
      <c r="U182" s="13">
        <v>0.55000000000000004</v>
      </c>
      <c r="V182" s="17">
        <v>0.35</v>
      </c>
      <c r="W182" s="17"/>
      <c r="X182" s="21"/>
      <c r="Y182" s="9"/>
      <c r="Z182" s="9"/>
      <c r="AA182" s="9"/>
      <c r="AB182" s="9"/>
      <c r="AC182" s="9"/>
      <c r="AD182" s="9"/>
    </row>
    <row r="183" spans="2:30" x14ac:dyDescent="0.2">
      <c r="B183" s="69" t="s">
        <v>51</v>
      </c>
      <c r="C183" s="315">
        <f>AVERAGE(C176:C182)</f>
        <v>0.30285714285714288</v>
      </c>
      <c r="D183" s="315">
        <f t="shared" ref="D183:E183" si="14">AVERAGE(D176:D182)</f>
        <v>0.7014285714285714</v>
      </c>
      <c r="E183" s="315">
        <f t="shared" si="14"/>
        <v>0.62571428571428556</v>
      </c>
      <c r="F183" s="21"/>
      <c r="G183" s="9"/>
      <c r="H183" s="69" t="s">
        <v>51</v>
      </c>
      <c r="I183" s="13">
        <f>AVERAGE(I176:I182)</f>
        <v>0.44</v>
      </c>
      <c r="J183" s="13">
        <f t="shared" ref="J183:K183" si="15">AVERAGE(J176:J182)</f>
        <v>0.67</v>
      </c>
      <c r="K183" s="13">
        <f t="shared" si="15"/>
        <v>0.33</v>
      </c>
      <c r="L183" s="64"/>
      <c r="M183" s="323"/>
      <c r="N183" s="11">
        <v>8</v>
      </c>
      <c r="O183" s="13">
        <v>0.45278137128072449</v>
      </c>
      <c r="P183" s="13">
        <v>0.19</v>
      </c>
      <c r="Q183" s="13">
        <v>0.05</v>
      </c>
      <c r="R183" s="321"/>
      <c r="S183" s="320"/>
      <c r="T183" s="11">
        <v>8</v>
      </c>
      <c r="U183" s="13">
        <v>0.44159544159544173</v>
      </c>
      <c r="V183" s="17">
        <v>0.38</v>
      </c>
      <c r="W183" s="17"/>
      <c r="X183" s="21"/>
      <c r="Y183" s="9"/>
      <c r="Z183" s="9"/>
      <c r="AA183" s="9"/>
      <c r="AB183" s="9"/>
      <c r="AC183" s="9"/>
      <c r="AD183" s="9"/>
    </row>
    <row r="184" spans="2:30" x14ac:dyDescent="0.2">
      <c r="B184" s="9"/>
      <c r="C184" s="9"/>
      <c r="D184" s="9"/>
      <c r="E184" s="9"/>
      <c r="F184" s="64"/>
      <c r="G184" s="9"/>
      <c r="H184" s="9"/>
      <c r="I184" s="9"/>
      <c r="J184" s="9"/>
      <c r="K184" s="9"/>
      <c r="L184" s="64"/>
      <c r="M184" s="323"/>
      <c r="N184" s="69" t="s">
        <v>51</v>
      </c>
      <c r="O184" s="13">
        <f>AVERAGE(O176:O183)</f>
        <v>0.3435737386804657</v>
      </c>
      <c r="P184" s="13">
        <f t="shared" ref="P184:Q184" si="16">AVERAGE(P176:P183)</f>
        <v>0.19600490196078429</v>
      </c>
      <c r="Q184" s="13">
        <f t="shared" si="16"/>
        <v>4.7499999999999994E-2</v>
      </c>
      <c r="R184" s="64"/>
      <c r="S184" s="320"/>
      <c r="T184" s="11">
        <v>9</v>
      </c>
      <c r="U184" s="13">
        <v>0.64</v>
      </c>
      <c r="V184" s="17">
        <v>0.62</v>
      </c>
      <c r="W184" s="17"/>
      <c r="X184" s="325"/>
      <c r="Y184" s="9"/>
      <c r="Z184" s="9"/>
      <c r="AA184" s="9"/>
      <c r="AB184" s="9"/>
      <c r="AC184" s="9"/>
      <c r="AD184" s="9"/>
    </row>
    <row r="185" spans="2:30" x14ac:dyDescent="0.2">
      <c r="B185" s="9"/>
      <c r="C185" s="9"/>
      <c r="D185" s="9"/>
      <c r="E185" s="9"/>
      <c r="F185" s="64"/>
      <c r="G185" s="9"/>
      <c r="H185" s="9"/>
      <c r="I185" s="9"/>
      <c r="J185" s="9"/>
      <c r="K185" s="9"/>
      <c r="L185" s="64"/>
      <c r="M185" s="9"/>
      <c r="N185" s="9"/>
      <c r="O185" s="9"/>
      <c r="P185" s="9"/>
      <c r="Q185" s="9"/>
      <c r="R185" s="64"/>
      <c r="S185" s="9"/>
      <c r="T185" s="11">
        <v>10</v>
      </c>
      <c r="U185" s="13">
        <v>0.56999999999999995</v>
      </c>
      <c r="V185" s="17">
        <v>0.49</v>
      </c>
      <c r="W185" s="17"/>
      <c r="X185" s="321"/>
      <c r="Y185" s="9"/>
      <c r="Z185" s="9"/>
      <c r="AA185" s="9"/>
      <c r="AB185" s="9"/>
      <c r="AC185" s="9"/>
      <c r="AD185" s="9"/>
    </row>
    <row r="186" spans="2:30" x14ac:dyDescent="0.2">
      <c r="B186" s="9"/>
      <c r="C186" s="9"/>
      <c r="D186" s="9"/>
      <c r="E186" s="9"/>
      <c r="F186" s="64"/>
      <c r="G186" s="9"/>
      <c r="H186" s="9"/>
      <c r="I186" s="9"/>
      <c r="J186" s="9"/>
      <c r="K186" s="9"/>
      <c r="L186" s="64"/>
      <c r="M186" s="9"/>
      <c r="N186" s="9"/>
      <c r="O186" s="9"/>
      <c r="P186" s="9"/>
      <c r="Q186" s="9"/>
      <c r="R186" s="64"/>
      <c r="S186" s="9"/>
      <c r="T186" s="69" t="s">
        <v>51</v>
      </c>
      <c r="U186" s="13">
        <f>AVERAGE(U176:U185)</f>
        <v>0.61976638176638166</v>
      </c>
      <c r="V186" s="13">
        <f t="shared" ref="V186:W186" si="17">AVERAGE(V176:V185)</f>
        <v>0.35199999999999998</v>
      </c>
      <c r="W186" s="13">
        <f t="shared" si="17"/>
        <v>0.03</v>
      </c>
      <c r="X186" s="321"/>
      <c r="Y186" s="9"/>
      <c r="Z186" s="9"/>
      <c r="AA186" s="9"/>
      <c r="AB186" s="9"/>
      <c r="AC186" s="9"/>
      <c r="AD186" s="9"/>
    </row>
    <row r="187" spans="2:30" x14ac:dyDescent="0.2">
      <c r="B187" s="9"/>
      <c r="C187" s="9"/>
      <c r="D187" s="9"/>
      <c r="E187" s="9"/>
      <c r="F187" s="64"/>
      <c r="G187" s="9"/>
      <c r="H187" s="9"/>
      <c r="I187" s="9"/>
      <c r="J187" s="9"/>
      <c r="K187" s="9"/>
      <c r="L187" s="64"/>
      <c r="M187" s="9"/>
      <c r="N187" s="9"/>
      <c r="O187" s="9"/>
      <c r="P187" s="9"/>
      <c r="Q187" s="9"/>
      <c r="R187" s="64"/>
      <c r="S187" s="9"/>
      <c r="T187" s="9"/>
      <c r="U187" s="9"/>
      <c r="V187" s="9"/>
      <c r="W187" s="9"/>
      <c r="X187" s="321"/>
      <c r="Y187" s="9"/>
      <c r="Z187" s="9"/>
      <c r="AA187" s="9"/>
      <c r="AB187" s="9"/>
      <c r="AC187" s="9"/>
      <c r="AD187" s="9"/>
    </row>
    <row r="188" spans="2:30" x14ac:dyDescent="0.2">
      <c r="B188" s="9"/>
      <c r="C188" s="9"/>
      <c r="D188" s="9"/>
      <c r="E188" s="9"/>
      <c r="F188" s="64"/>
      <c r="G188" s="9"/>
      <c r="H188" s="9"/>
      <c r="I188" s="9"/>
      <c r="J188" s="9"/>
      <c r="K188" s="9"/>
      <c r="L188" s="64"/>
      <c r="M188" s="9"/>
      <c r="N188" s="9"/>
      <c r="O188" s="9"/>
      <c r="P188" s="9"/>
      <c r="Q188" s="9"/>
      <c r="R188" s="64"/>
      <c r="S188" s="9"/>
      <c r="T188" s="9"/>
      <c r="U188" s="9"/>
      <c r="V188" s="9"/>
      <c r="W188" s="9"/>
      <c r="X188" s="321"/>
      <c r="Y188" s="9"/>
      <c r="Z188" s="9"/>
      <c r="AA188" s="9"/>
      <c r="AB188" s="9"/>
      <c r="AC188" s="9"/>
      <c r="AD188" s="9"/>
    </row>
    <row r="189" spans="2:30" x14ac:dyDescent="0.2">
      <c r="B189" s="9" t="s">
        <v>662</v>
      </c>
      <c r="C189" s="52"/>
      <c r="D189" s="9"/>
      <c r="E189" s="137"/>
      <c r="F189" s="21"/>
      <c r="G189" s="9"/>
      <c r="H189" s="9" t="s">
        <v>662</v>
      </c>
      <c r="I189" s="52"/>
      <c r="J189" s="9"/>
      <c r="K189" s="137"/>
      <c r="L189" s="21"/>
      <c r="M189" s="323"/>
      <c r="N189" s="9" t="s">
        <v>662</v>
      </c>
      <c r="O189" s="52"/>
      <c r="P189" s="9"/>
      <c r="Q189" s="137"/>
      <c r="R189" s="21"/>
      <c r="S189" s="320"/>
      <c r="T189" s="9" t="s">
        <v>662</v>
      </c>
      <c r="U189" s="52"/>
      <c r="V189" s="9"/>
      <c r="W189" s="137"/>
      <c r="X189" s="21"/>
      <c r="Y189" s="9"/>
      <c r="Z189" s="9"/>
      <c r="AA189" s="9"/>
      <c r="AB189" s="9"/>
      <c r="AC189" s="9"/>
      <c r="AD189" s="9"/>
    </row>
    <row r="190" spans="2:30" x14ac:dyDescent="0.2">
      <c r="B190" s="175" t="s">
        <v>978</v>
      </c>
      <c r="C190" s="316" t="s">
        <v>298</v>
      </c>
      <c r="D190" s="316" t="s">
        <v>943</v>
      </c>
      <c r="E190" s="316" t="s">
        <v>944</v>
      </c>
      <c r="F190" s="21"/>
      <c r="G190" s="9"/>
      <c r="H190" s="175" t="s">
        <v>196</v>
      </c>
      <c r="I190" s="316" t="s">
        <v>298</v>
      </c>
      <c r="J190" s="316" t="s">
        <v>943</v>
      </c>
      <c r="K190" s="316" t="s">
        <v>944</v>
      </c>
      <c r="L190" s="21"/>
      <c r="M190" s="320"/>
      <c r="N190" s="175" t="s">
        <v>199</v>
      </c>
      <c r="O190" s="316" t="s">
        <v>298</v>
      </c>
      <c r="P190" s="316" t="s">
        <v>943</v>
      </c>
      <c r="Q190" s="316" t="s">
        <v>944</v>
      </c>
      <c r="R190" s="21"/>
      <c r="S190" s="320"/>
      <c r="T190" s="175" t="s">
        <v>202</v>
      </c>
      <c r="U190" s="316" t="s">
        <v>298</v>
      </c>
      <c r="V190" s="316" t="s">
        <v>943</v>
      </c>
      <c r="W190" s="316" t="s">
        <v>944</v>
      </c>
      <c r="X190" s="21"/>
      <c r="Y190" s="9"/>
      <c r="Z190" s="9"/>
      <c r="AA190" s="9"/>
      <c r="AB190" s="9"/>
      <c r="AC190" s="9"/>
      <c r="AD190" s="9"/>
    </row>
    <row r="191" spans="2:30" x14ac:dyDescent="0.2">
      <c r="B191" s="444" t="s">
        <v>957</v>
      </c>
      <c r="C191" s="318" t="s">
        <v>990</v>
      </c>
      <c r="D191" s="318" t="s">
        <v>990</v>
      </c>
      <c r="E191" s="318" t="s">
        <v>990</v>
      </c>
      <c r="F191" s="325"/>
      <c r="G191" s="9"/>
      <c r="H191" s="444" t="s">
        <v>957</v>
      </c>
      <c r="I191" s="318" t="s">
        <v>990</v>
      </c>
      <c r="J191" s="318" t="s">
        <v>990</v>
      </c>
      <c r="K191" s="318" t="s">
        <v>990</v>
      </c>
      <c r="L191" s="325"/>
      <c r="M191" s="320"/>
      <c r="N191" s="444" t="s">
        <v>957</v>
      </c>
      <c r="O191" s="318" t="s">
        <v>990</v>
      </c>
      <c r="P191" s="318" t="s">
        <v>990</v>
      </c>
      <c r="Q191" s="318" t="s">
        <v>990</v>
      </c>
      <c r="R191" s="325"/>
      <c r="S191" s="320"/>
      <c r="T191" s="444" t="s">
        <v>957</v>
      </c>
      <c r="U191" s="318" t="s">
        <v>990</v>
      </c>
      <c r="V191" s="318" t="s">
        <v>990</v>
      </c>
      <c r="W191" s="318" t="s">
        <v>990</v>
      </c>
      <c r="X191" s="325"/>
      <c r="Y191" s="9"/>
      <c r="Z191" s="9"/>
      <c r="AA191" s="9"/>
      <c r="AB191" s="9"/>
      <c r="AC191" s="9"/>
      <c r="AD191" s="9"/>
    </row>
    <row r="192" spans="2:30" x14ac:dyDescent="0.2">
      <c r="B192" s="11">
        <v>1</v>
      </c>
      <c r="C192" s="17">
        <v>0.45000000000000007</v>
      </c>
      <c r="D192" s="13">
        <v>0.50131926121372017</v>
      </c>
      <c r="E192" s="13">
        <v>0.75</v>
      </c>
      <c r="F192" s="406"/>
      <c r="G192" s="9"/>
      <c r="H192" s="11">
        <v>1</v>
      </c>
      <c r="I192" s="17">
        <v>0.37999999999999989</v>
      </c>
      <c r="J192" s="13">
        <v>0.05</v>
      </c>
      <c r="K192" s="17">
        <v>0.02</v>
      </c>
      <c r="L192" s="321"/>
      <c r="M192" s="320"/>
      <c r="N192" s="11">
        <v>1</v>
      </c>
      <c r="O192" s="17">
        <v>0.18999999999999995</v>
      </c>
      <c r="P192" s="17">
        <v>0.17000000000000015</v>
      </c>
      <c r="Q192" s="17">
        <v>0.01</v>
      </c>
      <c r="R192" s="321"/>
      <c r="S192" s="320"/>
      <c r="T192" s="11">
        <v>1</v>
      </c>
      <c r="U192" s="13">
        <v>0.1737619461337967</v>
      </c>
      <c r="V192" s="17">
        <v>0.11</v>
      </c>
      <c r="W192" s="17">
        <v>9.9999999999999978E-2</v>
      </c>
      <c r="X192" s="321"/>
      <c r="Y192" s="9"/>
      <c r="Z192" s="9"/>
      <c r="AA192" s="9"/>
      <c r="AB192" s="9"/>
      <c r="AC192" s="9"/>
      <c r="AD192" s="9"/>
    </row>
    <row r="193" spans="2:30" x14ac:dyDescent="0.2">
      <c r="B193" s="11">
        <v>2</v>
      </c>
      <c r="C193" s="17">
        <v>0.39000000000000012</v>
      </c>
      <c r="D193" s="13">
        <v>0.4749340369393138</v>
      </c>
      <c r="E193" s="13">
        <v>0.69</v>
      </c>
      <c r="F193" s="406"/>
      <c r="G193" s="9"/>
      <c r="H193" s="11">
        <v>2</v>
      </c>
      <c r="I193" s="17">
        <v>0.37999999999999989</v>
      </c>
      <c r="J193" s="13">
        <v>2.2889842632331958E-2</v>
      </c>
      <c r="K193" s="17">
        <v>0.03</v>
      </c>
      <c r="L193" s="321"/>
      <c r="M193" s="320"/>
      <c r="N193" s="11">
        <v>2</v>
      </c>
      <c r="O193" s="17">
        <v>0.19999999999999996</v>
      </c>
      <c r="P193" s="17">
        <v>0.15000000000000013</v>
      </c>
      <c r="Q193" s="17">
        <v>4.0000000000000036E-2</v>
      </c>
      <c r="R193" s="321"/>
      <c r="S193" s="320"/>
      <c r="T193" s="11">
        <v>2</v>
      </c>
      <c r="U193" s="13">
        <v>0.19113814074717639</v>
      </c>
      <c r="V193" s="17">
        <v>0.08</v>
      </c>
      <c r="W193" s="17">
        <v>0.04</v>
      </c>
      <c r="X193" s="321"/>
      <c r="Y193" s="9"/>
      <c r="Z193" s="9"/>
      <c r="AA193" s="9"/>
      <c r="AB193" s="9"/>
      <c r="AC193" s="9"/>
      <c r="AD193" s="9"/>
    </row>
    <row r="194" spans="2:30" x14ac:dyDescent="0.2">
      <c r="B194" s="11">
        <v>3</v>
      </c>
      <c r="C194" s="17">
        <v>0.42000000000000004</v>
      </c>
      <c r="D194" s="13">
        <v>0.50131926121372017</v>
      </c>
      <c r="E194" s="13">
        <v>0.73</v>
      </c>
      <c r="F194" s="406"/>
      <c r="G194" s="9"/>
      <c r="H194" s="11">
        <v>3</v>
      </c>
      <c r="I194" s="17">
        <v>0.56000000000000005</v>
      </c>
      <c r="J194" s="13">
        <v>1.1444921316165924E-2</v>
      </c>
      <c r="K194" s="17">
        <v>0.01</v>
      </c>
      <c r="L194" s="64"/>
      <c r="M194" s="320"/>
      <c r="N194" s="11">
        <v>3</v>
      </c>
      <c r="O194" s="17">
        <v>0.21999999999999997</v>
      </c>
      <c r="P194" s="17">
        <v>0.14000000000000012</v>
      </c>
      <c r="Q194" s="17">
        <v>0.03</v>
      </c>
      <c r="R194" s="321"/>
      <c r="S194" s="320"/>
      <c r="T194" s="11">
        <v>3</v>
      </c>
      <c r="U194" s="13">
        <v>0.1737619461337967</v>
      </c>
      <c r="V194" s="17">
        <v>0.14000000000000001</v>
      </c>
      <c r="W194" s="17">
        <v>0.02</v>
      </c>
      <c r="X194" s="321"/>
      <c r="Y194" s="9"/>
      <c r="Z194" s="9"/>
      <c r="AA194" s="9"/>
      <c r="AB194" s="9"/>
      <c r="AC194" s="9"/>
      <c r="AD194" s="9"/>
    </row>
    <row r="195" spans="2:30" x14ac:dyDescent="0.2">
      <c r="B195" s="11">
        <v>4</v>
      </c>
      <c r="C195" s="17">
        <v>0.44000000000000006</v>
      </c>
      <c r="D195" s="13">
        <v>0.44854881266490776</v>
      </c>
      <c r="E195" s="13">
        <v>0.68</v>
      </c>
      <c r="F195" s="406"/>
      <c r="G195" s="9"/>
      <c r="H195" s="11">
        <v>4</v>
      </c>
      <c r="I195" s="17">
        <v>0.41999999999999993</v>
      </c>
      <c r="J195" s="13">
        <v>1.1444921316165924E-2</v>
      </c>
      <c r="K195" s="17"/>
      <c r="L195" s="321"/>
      <c r="M195" s="320"/>
      <c r="N195" s="11">
        <v>4</v>
      </c>
      <c r="O195" s="17">
        <v>0.18999999999999995</v>
      </c>
      <c r="P195" s="17">
        <v>0.10000000000000009</v>
      </c>
      <c r="Q195" s="17">
        <v>0.02</v>
      </c>
      <c r="R195" s="321"/>
      <c r="S195" s="320"/>
      <c r="T195" s="11">
        <v>4</v>
      </c>
      <c r="U195" s="13">
        <v>0.19982623805386646</v>
      </c>
      <c r="V195" s="17">
        <v>0.17</v>
      </c>
      <c r="W195" s="17">
        <v>0.05</v>
      </c>
      <c r="X195" s="321"/>
      <c r="Y195" s="9"/>
      <c r="Z195" s="9"/>
      <c r="AA195" s="9"/>
      <c r="AB195" s="9"/>
      <c r="AC195" s="9"/>
      <c r="AD195" s="9"/>
    </row>
    <row r="196" spans="2:30" x14ac:dyDescent="0.2">
      <c r="B196" s="11">
        <v>5</v>
      </c>
      <c r="C196" s="17">
        <v>0.39000000000000012</v>
      </c>
      <c r="D196" s="17">
        <v>0.22</v>
      </c>
      <c r="E196" s="17">
        <v>0.32</v>
      </c>
      <c r="F196" s="406"/>
      <c r="G196" s="9"/>
      <c r="H196" s="11">
        <v>5</v>
      </c>
      <c r="I196" s="17">
        <v>0.57999999999999996</v>
      </c>
      <c r="J196" s="13"/>
      <c r="K196" s="17"/>
      <c r="L196" s="176"/>
      <c r="M196" s="9"/>
      <c r="N196" s="11">
        <v>5</v>
      </c>
      <c r="O196" s="17">
        <v>0.19999999999999996</v>
      </c>
      <c r="P196" s="17">
        <v>0.19000000000000006</v>
      </c>
      <c r="Q196" s="17">
        <v>0.01</v>
      </c>
      <c r="R196" s="321"/>
      <c r="S196" s="320"/>
      <c r="T196" s="11">
        <v>5</v>
      </c>
      <c r="U196" s="13">
        <v>0.1737619461337967</v>
      </c>
      <c r="V196" s="17">
        <v>0.13</v>
      </c>
      <c r="W196" s="17">
        <v>0.03</v>
      </c>
      <c r="X196" s="321"/>
      <c r="Y196" s="9"/>
      <c r="Z196" s="9"/>
      <c r="AA196" s="9"/>
      <c r="AB196" s="9"/>
      <c r="AC196" s="9"/>
      <c r="AD196" s="9"/>
    </row>
    <row r="197" spans="2:30" x14ac:dyDescent="0.2">
      <c r="B197" s="11">
        <v>6</v>
      </c>
      <c r="C197" s="17">
        <v>0.38000000000000012</v>
      </c>
      <c r="D197" s="13">
        <v>0.461741424802111</v>
      </c>
      <c r="E197" s="13">
        <v>0.78</v>
      </c>
      <c r="F197" s="406"/>
      <c r="G197" s="9"/>
      <c r="H197" s="11">
        <v>6</v>
      </c>
      <c r="I197" s="17">
        <v>0.41999999999999993</v>
      </c>
      <c r="J197" s="13"/>
      <c r="K197" s="17"/>
      <c r="L197" s="176"/>
      <c r="M197" s="64"/>
      <c r="N197" s="11">
        <v>6</v>
      </c>
      <c r="O197" s="17">
        <v>0.16999999999999993</v>
      </c>
      <c r="P197" s="17">
        <v>0.19000000000000006</v>
      </c>
      <c r="Q197" s="17">
        <v>0.03</v>
      </c>
      <c r="R197" s="321"/>
      <c r="S197" s="64"/>
      <c r="T197" s="11">
        <v>6</v>
      </c>
      <c r="U197" s="13">
        <v>0.21720243266724593</v>
      </c>
      <c r="V197" s="17">
        <v>0.08</v>
      </c>
      <c r="W197" s="17">
        <v>0.04</v>
      </c>
      <c r="X197" s="321"/>
      <c r="Y197" s="9"/>
      <c r="Z197" s="9"/>
      <c r="AA197" s="9"/>
      <c r="AB197" s="9"/>
      <c r="AC197" s="9"/>
      <c r="AD197" s="9"/>
    </row>
    <row r="198" spans="2:30" x14ac:dyDescent="0.2">
      <c r="B198" s="11">
        <v>7</v>
      </c>
      <c r="C198" s="17">
        <v>0.56999999999999995</v>
      </c>
      <c r="D198" s="13">
        <v>0.43535620052770452</v>
      </c>
      <c r="E198" s="13">
        <v>0.72</v>
      </c>
      <c r="F198" s="406"/>
      <c r="G198" s="9"/>
      <c r="H198" s="11">
        <v>7</v>
      </c>
      <c r="I198" s="17">
        <v>0.37999999999999989</v>
      </c>
      <c r="J198" s="13"/>
      <c r="K198" s="17"/>
      <c r="L198" s="176"/>
      <c r="M198" s="176"/>
      <c r="N198" s="11">
        <v>7</v>
      </c>
      <c r="O198" s="17">
        <v>0.19999999999999996</v>
      </c>
      <c r="P198" s="17">
        <v>0.20999999999999985</v>
      </c>
      <c r="Q198" s="17">
        <v>0.03</v>
      </c>
      <c r="R198" s="321"/>
      <c r="S198" s="176"/>
      <c r="T198" s="11">
        <v>7</v>
      </c>
      <c r="U198" s="13">
        <v>0.19982623805386623</v>
      </c>
      <c r="V198" s="17">
        <v>0.15</v>
      </c>
      <c r="W198" s="17">
        <v>0.06</v>
      </c>
      <c r="X198" s="321"/>
      <c r="Y198" s="9"/>
      <c r="Z198" s="9"/>
      <c r="AA198" s="9"/>
      <c r="AB198" s="9"/>
      <c r="AC198" s="9"/>
      <c r="AD198" s="9"/>
    </row>
    <row r="199" spans="2:30" x14ac:dyDescent="0.2">
      <c r="B199" s="11">
        <v>8</v>
      </c>
      <c r="C199" s="17">
        <v>0.55999999999999994</v>
      </c>
      <c r="D199" s="13">
        <v>0.44854881266490776</v>
      </c>
      <c r="E199" s="13">
        <v>0.66</v>
      </c>
      <c r="F199" s="406"/>
      <c r="G199" s="9"/>
      <c r="H199" s="69" t="s">
        <v>51</v>
      </c>
      <c r="I199" s="13">
        <f>AVERAGE(I192:I198)</f>
        <v>0.44571428571428567</v>
      </c>
      <c r="J199" s="13">
        <f t="shared" ref="J199:K199" si="18">AVERAGE(J192:J198)</f>
        <v>2.3944921316165952E-2</v>
      </c>
      <c r="K199" s="13">
        <f t="shared" si="18"/>
        <v>0.02</v>
      </c>
      <c r="L199" s="64"/>
      <c r="M199" s="176"/>
      <c r="N199" s="11">
        <v>8</v>
      </c>
      <c r="O199" s="17">
        <v>0.19</v>
      </c>
      <c r="P199" s="17">
        <v>0.13</v>
      </c>
      <c r="Q199" s="17">
        <v>0.02</v>
      </c>
      <c r="R199" s="321"/>
      <c r="S199" s="176"/>
      <c r="T199" s="11">
        <v>8</v>
      </c>
      <c r="U199" s="13">
        <v>0.13900955690703753</v>
      </c>
      <c r="V199" s="17">
        <v>7.0000000000000007E-2</v>
      </c>
      <c r="W199" s="17">
        <v>0.02</v>
      </c>
      <c r="X199" s="321"/>
      <c r="Y199" s="9"/>
      <c r="Z199" s="9"/>
      <c r="AA199" s="9"/>
      <c r="AB199" s="9"/>
      <c r="AC199" s="9"/>
      <c r="AD199" s="9"/>
    </row>
    <row r="200" spans="2:30" x14ac:dyDescent="0.2">
      <c r="B200" s="11">
        <v>9</v>
      </c>
      <c r="C200" s="17">
        <v>0.5099999999999999</v>
      </c>
      <c r="D200" s="13">
        <v>0.40897097625329826</v>
      </c>
      <c r="E200" s="13">
        <v>0.63</v>
      </c>
      <c r="F200" s="406"/>
      <c r="G200" s="9"/>
      <c r="H200" s="64"/>
      <c r="I200" s="321"/>
      <c r="J200" s="321"/>
      <c r="K200" s="321"/>
      <c r="L200" s="176"/>
      <c r="M200" s="176"/>
      <c r="N200" s="11">
        <v>9</v>
      </c>
      <c r="O200" s="17">
        <v>0.12</v>
      </c>
      <c r="P200" s="17">
        <v>0.09</v>
      </c>
      <c r="Q200" s="17">
        <v>0.03</v>
      </c>
      <c r="R200" s="321"/>
      <c r="S200" s="176"/>
      <c r="T200" s="11">
        <v>9</v>
      </c>
      <c r="U200" s="13">
        <v>0.17376194613379692</v>
      </c>
      <c r="V200" s="17">
        <v>0.03</v>
      </c>
      <c r="W200" s="17">
        <v>0.02</v>
      </c>
      <c r="X200" s="321"/>
      <c r="Y200" s="9"/>
      <c r="Z200" s="9"/>
      <c r="AA200" s="9"/>
      <c r="AB200" s="9"/>
      <c r="AC200" s="9"/>
      <c r="AD200" s="9"/>
    </row>
    <row r="201" spans="2:30" x14ac:dyDescent="0.2">
      <c r="B201" s="11">
        <v>10</v>
      </c>
      <c r="C201" s="17">
        <v>0.48999999999999988</v>
      </c>
      <c r="D201" s="13">
        <v>0.461741424802111</v>
      </c>
      <c r="E201" s="13">
        <v>0.65</v>
      </c>
      <c r="F201" s="406"/>
      <c r="G201" s="9"/>
      <c r="H201" s="64"/>
      <c r="I201" s="321"/>
      <c r="J201" s="321"/>
      <c r="K201" s="321"/>
      <c r="L201" s="176"/>
      <c r="M201" s="176"/>
      <c r="N201" s="69" t="s">
        <v>51</v>
      </c>
      <c r="O201" s="13">
        <f>AVERAGE(O192:O200)</f>
        <v>0.18666666666666665</v>
      </c>
      <c r="P201" s="13">
        <f t="shared" ref="P201:Q201" si="19">AVERAGE(P192:P200)</f>
        <v>0.15222222222222226</v>
      </c>
      <c r="Q201" s="13">
        <f t="shared" si="19"/>
        <v>2.4444444444444449E-2</v>
      </c>
      <c r="R201" s="64"/>
      <c r="S201" s="176"/>
      <c r="T201" s="69" t="s">
        <v>51</v>
      </c>
      <c r="U201" s="13">
        <f>AVERAGE(U192:U200)</f>
        <v>0.18245004344048663</v>
      </c>
      <c r="V201" s="13">
        <f t="shared" ref="V201:W201" si="20">AVERAGE(V192:V200)</f>
        <v>0.10666666666666666</v>
      </c>
      <c r="W201" s="13">
        <f t="shared" si="20"/>
        <v>4.2222222222222223E-2</v>
      </c>
      <c r="X201" s="64"/>
      <c r="Y201" s="9"/>
      <c r="Z201" s="9"/>
      <c r="AA201" s="9"/>
      <c r="AB201" s="9"/>
      <c r="AC201" s="9"/>
      <c r="AD201" s="9"/>
    </row>
    <row r="202" spans="2:30" x14ac:dyDescent="0.2">
      <c r="B202" s="11">
        <v>11</v>
      </c>
      <c r="C202" s="17">
        <v>0.55000000000000004</v>
      </c>
      <c r="D202" s="17">
        <v>0.51</v>
      </c>
      <c r="E202" s="17">
        <v>0.65</v>
      </c>
      <c r="F202" s="321"/>
      <c r="G202" s="9"/>
      <c r="H202" s="64"/>
      <c r="I202" s="321"/>
      <c r="J202" s="321"/>
      <c r="K202" s="321"/>
      <c r="L202" s="176"/>
      <c r="M202" s="408"/>
      <c r="N202" s="176"/>
      <c r="O202" s="321"/>
      <c r="P202" s="321"/>
      <c r="Q202" s="176"/>
      <c r="R202" s="176"/>
      <c r="S202" s="176"/>
      <c r="T202" s="9"/>
      <c r="U202" s="9"/>
      <c r="V202" s="9"/>
      <c r="W202" s="9"/>
      <c r="X202" s="64"/>
      <c r="Y202" s="9"/>
      <c r="Z202" s="9"/>
      <c r="AA202" s="9"/>
      <c r="AB202" s="9"/>
      <c r="AC202" s="9"/>
      <c r="AD202" s="9"/>
    </row>
    <row r="203" spans="2:30" x14ac:dyDescent="0.2">
      <c r="B203" s="11">
        <v>12</v>
      </c>
      <c r="C203" s="17">
        <v>0.28000000000000003</v>
      </c>
      <c r="D203" s="13">
        <v>0.44854881266490776</v>
      </c>
      <c r="E203" s="13">
        <v>0.69</v>
      </c>
      <c r="F203" s="321"/>
      <c r="G203" s="9"/>
      <c r="H203" s="64"/>
      <c r="I203" s="321"/>
      <c r="J203" s="321"/>
      <c r="K203" s="176"/>
      <c r="L203" s="176"/>
      <c r="M203" s="321"/>
      <c r="N203" s="176"/>
      <c r="O203" s="321"/>
      <c r="P203" s="321"/>
      <c r="Q203" s="176"/>
      <c r="R203" s="176"/>
      <c r="S203" s="176"/>
      <c r="T203" s="176"/>
      <c r="U203" s="321"/>
      <c r="V203" s="321"/>
      <c r="W203" s="176"/>
      <c r="X203" s="176"/>
      <c r="Y203" s="9"/>
      <c r="Z203" s="9"/>
      <c r="AA203" s="9"/>
      <c r="AB203" s="9"/>
      <c r="AC203" s="9"/>
      <c r="AD203" s="9"/>
    </row>
    <row r="204" spans="2:30" x14ac:dyDescent="0.2">
      <c r="B204" s="69" t="s">
        <v>51</v>
      </c>
      <c r="C204" s="17">
        <f>AVERAGE(C192:C203)</f>
        <v>0.45250000000000007</v>
      </c>
      <c r="D204" s="13">
        <f>AVERAGE(D192:D203)</f>
        <v>0.44341908531222513</v>
      </c>
      <c r="E204" s="104">
        <f>AVERAGE(E192:E203)</f>
        <v>0.66250000000000009</v>
      </c>
      <c r="H204" s="64"/>
      <c r="I204" s="321"/>
      <c r="J204" s="321"/>
      <c r="K204" s="176"/>
      <c r="L204" s="176"/>
      <c r="M204" s="321"/>
      <c r="N204" s="176"/>
      <c r="O204" s="321"/>
      <c r="P204" s="321"/>
      <c r="Q204" s="176"/>
      <c r="R204" s="176"/>
      <c r="S204" s="176"/>
      <c r="T204" s="176"/>
      <c r="U204" s="321"/>
      <c r="V204" s="321"/>
      <c r="W204" s="176"/>
      <c r="X204" s="176"/>
      <c r="Y204" s="9"/>
      <c r="Z204" s="9"/>
      <c r="AA204" s="9"/>
      <c r="AB204" s="9"/>
      <c r="AC204" s="9"/>
      <c r="AD204" s="9"/>
    </row>
    <row r="205" spans="2:30" x14ac:dyDescent="0.2">
      <c r="B205" s="9"/>
      <c r="C205" s="9"/>
      <c r="D205" s="9"/>
      <c r="E205" s="9"/>
      <c r="F205" s="64"/>
      <c r="G205" s="9"/>
      <c r="H205" s="9"/>
      <c r="I205" s="42"/>
      <c r="J205" s="42"/>
      <c r="K205" s="42"/>
      <c r="L205" s="64"/>
      <c r="M205" s="42"/>
      <c r="N205" s="42"/>
      <c r="O205" s="42"/>
      <c r="P205" s="42"/>
      <c r="Q205" s="42"/>
      <c r="R205" s="64"/>
      <c r="S205" s="42"/>
      <c r="T205" s="9"/>
      <c r="U205" s="9"/>
      <c r="V205" s="9"/>
      <c r="W205" s="9"/>
      <c r="X205" s="64"/>
      <c r="Y205" s="9"/>
      <c r="Z205" s="9"/>
      <c r="AA205" s="9"/>
      <c r="AB205" s="9"/>
      <c r="AC205" s="9"/>
      <c r="AD205" s="9"/>
    </row>
    <row r="206" spans="2:30" x14ac:dyDescent="0.2">
      <c r="B206" s="9"/>
      <c r="C206" s="9"/>
      <c r="D206" s="9"/>
      <c r="E206" s="9"/>
      <c r="F206" s="64"/>
      <c r="G206" s="9"/>
      <c r="H206" s="9"/>
      <c r="I206" s="42"/>
      <c r="J206" s="42"/>
      <c r="K206" s="42"/>
      <c r="L206" s="64"/>
      <c r="M206" s="42"/>
      <c r="N206" s="42"/>
      <c r="O206" s="42"/>
      <c r="P206" s="42"/>
      <c r="Q206" s="42"/>
      <c r="R206" s="64"/>
      <c r="S206" s="42"/>
      <c r="T206" s="9"/>
      <c r="U206" s="9"/>
      <c r="V206" s="9"/>
      <c r="W206" s="9"/>
      <c r="X206" s="64"/>
      <c r="Y206" s="9"/>
      <c r="Z206" s="9"/>
      <c r="AA206" s="9"/>
      <c r="AB206" s="9"/>
      <c r="AC206" s="9"/>
      <c r="AD206" s="9"/>
    </row>
    <row r="207" spans="2:30" x14ac:dyDescent="0.2">
      <c r="B207" s="9"/>
      <c r="C207" s="52"/>
      <c r="D207" s="9"/>
      <c r="E207" s="137"/>
      <c r="F207" s="64"/>
      <c r="G207" s="9"/>
      <c r="H207" s="9"/>
      <c r="I207" s="42"/>
      <c r="J207" s="42"/>
      <c r="K207" s="42"/>
      <c r="L207" s="64"/>
      <c r="M207" s="42"/>
      <c r="N207" s="42"/>
      <c r="O207" s="42"/>
      <c r="P207" s="42"/>
      <c r="Q207" s="42"/>
      <c r="R207" s="64"/>
      <c r="S207" s="42"/>
      <c r="T207" s="9"/>
      <c r="U207" s="9"/>
      <c r="V207" s="9"/>
      <c r="W207" s="9"/>
      <c r="X207" s="64"/>
      <c r="Y207" s="9"/>
      <c r="Z207" s="9"/>
      <c r="AA207" s="9"/>
      <c r="AB207" s="9"/>
      <c r="AC207" s="9"/>
      <c r="AD207" s="9"/>
    </row>
    <row r="208" spans="2:30" x14ac:dyDescent="0.2">
      <c r="B208" s="175" t="s">
        <v>959</v>
      </c>
      <c r="C208" s="316" t="s">
        <v>298</v>
      </c>
      <c r="D208" s="316" t="s">
        <v>943</v>
      </c>
      <c r="E208" s="316" t="s">
        <v>944</v>
      </c>
      <c r="F208" s="64"/>
      <c r="G208" s="9"/>
      <c r="H208" s="9"/>
      <c r="I208" s="42"/>
      <c r="J208" s="42"/>
      <c r="K208" s="42"/>
      <c r="L208" s="64"/>
      <c r="M208" s="42"/>
      <c r="N208" s="42"/>
      <c r="O208" s="42"/>
      <c r="P208" s="42"/>
      <c r="Q208" s="42"/>
      <c r="R208" s="64"/>
      <c r="S208" s="42"/>
      <c r="T208" s="9"/>
      <c r="U208" s="9"/>
      <c r="V208" s="9"/>
      <c r="W208" s="9"/>
      <c r="X208" s="64"/>
      <c r="Y208" s="9"/>
      <c r="Z208" s="9"/>
      <c r="AA208" s="9"/>
      <c r="AB208" s="9"/>
      <c r="AC208" s="9"/>
      <c r="AD208" s="9"/>
    </row>
    <row r="209" spans="2:30" x14ac:dyDescent="0.2">
      <c r="B209" s="444" t="s">
        <v>957</v>
      </c>
      <c r="C209" s="318" t="s">
        <v>990</v>
      </c>
      <c r="D209" s="318" t="s">
        <v>990</v>
      </c>
      <c r="E209" s="318" t="s">
        <v>990</v>
      </c>
      <c r="F209" s="64"/>
      <c r="G209" s="9"/>
      <c r="H209" s="9"/>
      <c r="I209" s="42"/>
      <c r="J209" s="42"/>
      <c r="K209" s="42"/>
      <c r="L209" s="64"/>
      <c r="M209" s="42"/>
      <c r="N209" s="42"/>
      <c r="O209" s="42"/>
      <c r="P209" s="42"/>
      <c r="Q209" s="42"/>
      <c r="R209" s="64"/>
      <c r="S209" s="42"/>
      <c r="T209" s="9"/>
      <c r="U209" s="9"/>
      <c r="V209" s="9"/>
      <c r="W209" s="9"/>
      <c r="X209" s="64"/>
      <c r="Y209" s="9"/>
      <c r="Z209" s="9"/>
      <c r="AA209" s="9"/>
      <c r="AB209" s="9"/>
      <c r="AC209" s="9"/>
      <c r="AD209" s="9"/>
    </row>
    <row r="210" spans="2:30" x14ac:dyDescent="0.2">
      <c r="B210" s="11">
        <v>1</v>
      </c>
      <c r="C210" s="17">
        <v>0.30000000000000016</v>
      </c>
      <c r="D210" s="13">
        <v>0.45576407506702432</v>
      </c>
      <c r="E210" s="13">
        <v>0.42</v>
      </c>
      <c r="F210" s="64"/>
      <c r="G210" s="9"/>
      <c r="H210" s="9"/>
      <c r="I210" s="42"/>
      <c r="J210" s="42"/>
      <c r="K210" s="42"/>
      <c r="L210" s="64"/>
      <c r="M210" s="42"/>
      <c r="N210" s="42"/>
      <c r="O210" s="42"/>
      <c r="P210" s="42"/>
      <c r="Q210" s="42"/>
      <c r="R210" s="64"/>
      <c r="S210" s="42"/>
      <c r="T210" s="9"/>
      <c r="U210" s="9"/>
      <c r="V210" s="9"/>
      <c r="W210" s="9"/>
      <c r="X210" s="64"/>
      <c r="Y210" s="9"/>
      <c r="Z210" s="9"/>
      <c r="AA210" s="9"/>
      <c r="AB210" s="9"/>
      <c r="AC210" s="9"/>
      <c r="AD210" s="9"/>
    </row>
    <row r="211" spans="2:30" x14ac:dyDescent="0.2">
      <c r="B211" s="11">
        <v>2</v>
      </c>
      <c r="C211" s="17">
        <v>0.28000000000000014</v>
      </c>
      <c r="D211" s="409">
        <v>0.49597855227882059</v>
      </c>
      <c r="E211" s="13">
        <v>0.56000000000000005</v>
      </c>
      <c r="F211" s="64"/>
      <c r="G211" s="9"/>
      <c r="H211" s="9"/>
      <c r="I211" s="42"/>
      <c r="J211" s="42"/>
      <c r="K211" s="42"/>
      <c r="L211" s="64"/>
      <c r="M211" s="42"/>
      <c r="N211" s="42"/>
      <c r="O211" s="42"/>
      <c r="P211" s="42"/>
      <c r="Q211" s="42"/>
      <c r="R211" s="64"/>
      <c r="S211" s="42"/>
      <c r="T211" s="9"/>
      <c r="U211" s="9"/>
      <c r="V211" s="9"/>
      <c r="W211" s="9"/>
      <c r="X211" s="64"/>
      <c r="Y211" s="9"/>
      <c r="Z211" s="9"/>
      <c r="AA211" s="9"/>
      <c r="AB211" s="9"/>
      <c r="AC211" s="9"/>
      <c r="AD211" s="9"/>
    </row>
    <row r="212" spans="2:30" x14ac:dyDescent="0.2">
      <c r="B212" s="11">
        <v>3</v>
      </c>
      <c r="C212" s="17">
        <v>0.26000000000000012</v>
      </c>
      <c r="D212" s="409">
        <v>0.46916890080428975</v>
      </c>
      <c r="E212" s="13">
        <v>0.49</v>
      </c>
      <c r="F212" s="64"/>
      <c r="G212" s="9"/>
      <c r="H212" s="9"/>
      <c r="I212" s="42"/>
      <c r="J212" s="42"/>
      <c r="K212" s="42"/>
      <c r="L212" s="64"/>
      <c r="M212" s="42"/>
      <c r="N212" s="42"/>
      <c r="O212" s="42"/>
      <c r="P212" s="42"/>
      <c r="Q212" s="42"/>
      <c r="R212" s="64"/>
      <c r="S212" s="42"/>
      <c r="T212" s="9"/>
      <c r="U212" s="9"/>
      <c r="V212" s="9"/>
      <c r="W212" s="9"/>
      <c r="X212" s="64"/>
      <c r="Y212" s="9"/>
      <c r="Z212" s="9"/>
      <c r="AA212" s="9"/>
      <c r="AB212" s="9"/>
      <c r="AC212" s="9"/>
      <c r="AD212" s="9"/>
    </row>
    <row r="213" spans="2:30" x14ac:dyDescent="0.2">
      <c r="B213" s="11">
        <v>4</v>
      </c>
      <c r="C213" s="17">
        <v>0.42000000000000004</v>
      </c>
      <c r="D213" s="409">
        <v>0.41554959785522794</v>
      </c>
      <c r="E213" s="13">
        <v>0.76</v>
      </c>
      <c r="F213" s="64"/>
      <c r="G213" s="9"/>
      <c r="H213" s="9"/>
      <c r="I213" s="42"/>
      <c r="J213" s="42"/>
      <c r="K213" s="42"/>
      <c r="L213" s="64"/>
      <c r="M213" s="42"/>
      <c r="N213" s="42"/>
      <c r="O213" s="42"/>
      <c r="P213" s="42"/>
      <c r="Q213" s="42"/>
      <c r="R213" s="64"/>
      <c r="S213" s="42"/>
      <c r="T213" s="9"/>
      <c r="U213" s="9"/>
      <c r="V213" s="9"/>
      <c r="W213" s="9"/>
      <c r="X213" s="64"/>
      <c r="Y213" s="9"/>
      <c r="Z213" s="9"/>
      <c r="AA213" s="9"/>
      <c r="AB213" s="9"/>
      <c r="AC213" s="9"/>
      <c r="AD213" s="9"/>
    </row>
    <row r="214" spans="2:30" x14ac:dyDescent="0.2">
      <c r="B214" s="11">
        <v>5</v>
      </c>
      <c r="C214" s="17">
        <v>0.39</v>
      </c>
      <c r="D214" s="409">
        <v>0.41554959785522794</v>
      </c>
      <c r="E214" s="13">
        <v>0.89</v>
      </c>
      <c r="F214" s="21"/>
      <c r="G214" s="9"/>
      <c r="H214" s="64"/>
      <c r="I214" s="321"/>
      <c r="J214" s="176"/>
      <c r="K214" s="176"/>
      <c r="L214" s="176"/>
      <c r="M214" s="321"/>
      <c r="N214" s="176"/>
      <c r="O214" s="321"/>
      <c r="P214" s="321"/>
      <c r="Q214" s="176"/>
      <c r="R214" s="176"/>
      <c r="S214" s="176"/>
      <c r="T214" s="176"/>
      <c r="U214" s="321"/>
      <c r="V214" s="321"/>
      <c r="W214" s="176"/>
      <c r="X214" s="176"/>
      <c r="Y214" s="9"/>
      <c r="Z214" s="9"/>
      <c r="AA214" s="9"/>
      <c r="AB214" s="9"/>
      <c r="AC214" s="9"/>
      <c r="AD214" s="9"/>
    </row>
    <row r="215" spans="2:30" x14ac:dyDescent="0.2">
      <c r="B215" s="11">
        <v>6</v>
      </c>
      <c r="C215" s="17">
        <v>0.38</v>
      </c>
      <c r="D215" s="409">
        <v>0.40214477211796251</v>
      </c>
      <c r="E215" s="13">
        <v>0.67</v>
      </c>
      <c r="F215" s="325"/>
      <c r="G215" s="9"/>
      <c r="H215" s="64"/>
      <c r="I215" s="337"/>
      <c r="J215" s="42"/>
      <c r="K215" s="42"/>
      <c r="L215" s="42"/>
      <c r="M215" s="176"/>
      <c r="N215" s="42"/>
      <c r="O215" s="42"/>
      <c r="P215" s="321"/>
      <c r="Q215" s="321"/>
      <c r="R215" s="321"/>
      <c r="S215" s="176"/>
      <c r="T215" s="176"/>
      <c r="U215" s="321"/>
      <c r="V215" s="321"/>
      <c r="W215" s="176"/>
      <c r="X215" s="176"/>
      <c r="Y215" s="9"/>
      <c r="Z215" s="9"/>
      <c r="AA215" s="9"/>
      <c r="AB215" s="9"/>
      <c r="AC215" s="9"/>
      <c r="AD215" s="9"/>
    </row>
    <row r="216" spans="2:30" x14ac:dyDescent="0.2">
      <c r="B216" s="11">
        <v>7</v>
      </c>
      <c r="C216" s="17">
        <v>0.29999999999999993</v>
      </c>
      <c r="D216" s="409">
        <v>0.40214477211796251</v>
      </c>
      <c r="E216" s="13">
        <v>0.81999999999999984</v>
      </c>
      <c r="F216" s="21"/>
      <c r="G216" s="9"/>
      <c r="H216" s="64"/>
      <c r="I216" s="321"/>
      <c r="J216" s="42"/>
      <c r="K216" s="42"/>
      <c r="L216" s="42"/>
      <c r="M216" s="42"/>
      <c r="N216" s="42"/>
      <c r="O216" s="42"/>
      <c r="P216" s="321"/>
      <c r="Q216" s="321"/>
      <c r="R216" s="321"/>
      <c r="S216" s="176"/>
      <c r="T216" s="176"/>
      <c r="U216" s="321"/>
      <c r="V216" s="176"/>
      <c r="W216" s="176"/>
      <c r="X216" s="176"/>
      <c r="Y216" s="9"/>
      <c r="Z216" s="9"/>
      <c r="AA216" s="9"/>
      <c r="AB216" s="9"/>
      <c r="AC216" s="9"/>
      <c r="AD216" s="9"/>
    </row>
    <row r="217" spans="2:30" x14ac:dyDescent="0.2">
      <c r="B217" s="11">
        <v>8</v>
      </c>
      <c r="C217" s="17">
        <v>0.24999999999999989</v>
      </c>
      <c r="D217" s="409">
        <v>0.49597855227882059</v>
      </c>
      <c r="E217" s="13">
        <v>0.94</v>
      </c>
      <c r="F217" s="21"/>
      <c r="G217" s="9"/>
      <c r="H217" s="21"/>
      <c r="I217" s="42"/>
      <c r="J217" s="42"/>
      <c r="K217" s="42"/>
      <c r="L217" s="42"/>
      <c r="M217" s="42"/>
      <c r="N217" s="42"/>
      <c r="O217" s="42"/>
      <c r="P217" s="321"/>
      <c r="Q217" s="321"/>
      <c r="R217" s="176"/>
      <c r="S217" s="64"/>
      <c r="T217" s="21"/>
      <c r="U217" s="64"/>
      <c r="V217" s="64"/>
      <c r="W217" s="64"/>
      <c r="X217" s="64"/>
      <c r="Y217" s="9"/>
      <c r="Z217" s="9"/>
      <c r="AA217" s="9"/>
      <c r="AB217" s="9"/>
      <c r="AC217" s="9"/>
      <c r="AD217" s="9"/>
    </row>
    <row r="218" spans="2:30" x14ac:dyDescent="0.2">
      <c r="B218" s="11">
        <v>9</v>
      </c>
      <c r="C218" s="17">
        <v>0.29999999999999993</v>
      </c>
      <c r="D218" s="409">
        <v>0.46916890080428975</v>
      </c>
      <c r="E218" s="13">
        <v>0.64</v>
      </c>
      <c r="F218" s="325"/>
      <c r="G218" s="9"/>
      <c r="H218" s="64"/>
      <c r="I218" s="42"/>
      <c r="J218" s="42"/>
      <c r="K218" s="42"/>
      <c r="L218" s="42"/>
      <c r="M218" s="42"/>
      <c r="N218" s="42"/>
      <c r="O218" s="42"/>
      <c r="P218" s="321"/>
      <c r="Q218" s="321"/>
      <c r="R218" s="176"/>
      <c r="S218" s="64"/>
      <c r="T218" s="64"/>
      <c r="U218" s="21"/>
      <c r="V218" s="21"/>
      <c r="W218" s="21"/>
      <c r="X218" s="21"/>
      <c r="Y218" s="9"/>
      <c r="Z218" s="9"/>
      <c r="AA218" s="9"/>
      <c r="AB218" s="9"/>
      <c r="AC218" s="9"/>
      <c r="AD218" s="9"/>
    </row>
    <row r="219" spans="2:30" x14ac:dyDescent="0.2">
      <c r="B219" s="11">
        <v>10</v>
      </c>
      <c r="C219" s="17">
        <v>0.43</v>
      </c>
      <c r="D219" s="409">
        <v>0.45576407506702432</v>
      </c>
      <c r="E219" s="13">
        <v>0.92999999999999994</v>
      </c>
      <c r="F219" s="321"/>
      <c r="G219" s="9"/>
      <c r="H219" s="64"/>
      <c r="I219" s="42"/>
      <c r="J219" s="42"/>
      <c r="K219" s="42"/>
      <c r="L219" s="42"/>
      <c r="M219" s="42"/>
      <c r="N219" s="42"/>
      <c r="O219" s="42"/>
      <c r="P219" s="321"/>
      <c r="Q219" s="321"/>
      <c r="R219" s="176"/>
      <c r="S219" s="64"/>
      <c r="T219" s="64"/>
      <c r="U219" s="21"/>
      <c r="V219" s="64"/>
      <c r="W219" s="21"/>
      <c r="X219" s="21"/>
      <c r="Y219" s="9"/>
      <c r="Z219" s="9"/>
      <c r="AA219" s="9"/>
      <c r="AB219" s="9"/>
      <c r="AC219" s="9"/>
      <c r="AD219" s="9"/>
    </row>
    <row r="220" spans="2:30" x14ac:dyDescent="0.2">
      <c r="B220" s="11">
        <v>11</v>
      </c>
      <c r="C220" s="17">
        <v>0.46</v>
      </c>
      <c r="D220" s="51">
        <v>0.42</v>
      </c>
      <c r="E220" s="17">
        <v>0.4</v>
      </c>
      <c r="F220" s="321"/>
      <c r="G220" s="9"/>
      <c r="H220" s="143"/>
      <c r="I220" s="42"/>
      <c r="J220" s="42"/>
      <c r="K220" s="42"/>
      <c r="L220" s="42"/>
      <c r="M220" s="64"/>
      <c r="N220" s="42"/>
      <c r="O220" s="21"/>
      <c r="P220" s="64"/>
      <c r="Q220" s="64"/>
      <c r="R220" s="64"/>
      <c r="S220" s="64"/>
      <c r="T220" s="143"/>
      <c r="U220" s="21"/>
      <c r="V220" s="21"/>
      <c r="W220" s="21"/>
      <c r="X220" s="21"/>
      <c r="Y220" s="9"/>
      <c r="Z220" s="9"/>
      <c r="AA220" s="9"/>
      <c r="AB220" s="9"/>
      <c r="AC220" s="9"/>
      <c r="AD220" s="9"/>
    </row>
    <row r="221" spans="2:30" x14ac:dyDescent="0.2">
      <c r="B221" s="11">
        <v>12</v>
      </c>
      <c r="C221" s="17">
        <v>0.28000000000000003</v>
      </c>
      <c r="D221" s="51">
        <v>0.27</v>
      </c>
      <c r="E221" s="17">
        <v>0.47</v>
      </c>
      <c r="F221" s="321"/>
      <c r="G221" s="9"/>
      <c r="H221" s="64"/>
      <c r="I221" s="42"/>
      <c r="J221" s="42"/>
      <c r="K221" s="42"/>
      <c r="L221" s="42"/>
      <c r="M221" s="64"/>
      <c r="N221" s="42"/>
      <c r="O221" s="64"/>
      <c r="P221" s="21"/>
      <c r="Q221" s="21"/>
      <c r="R221" s="21"/>
      <c r="S221" s="64"/>
      <c r="T221" s="64"/>
      <c r="U221" s="325"/>
      <c r="V221" s="325"/>
      <c r="W221" s="325"/>
      <c r="X221" s="325"/>
      <c r="Y221" s="9"/>
      <c r="Z221" s="9"/>
      <c r="AA221" s="9"/>
      <c r="AB221" s="9"/>
      <c r="AC221" s="9"/>
      <c r="AD221" s="9"/>
    </row>
    <row r="222" spans="2:30" x14ac:dyDescent="0.2">
      <c r="B222" s="11">
        <v>13</v>
      </c>
      <c r="C222" s="17">
        <v>0.22</v>
      </c>
      <c r="D222" s="51">
        <v>0.36</v>
      </c>
      <c r="E222" s="17">
        <v>0.56000000000000005</v>
      </c>
      <c r="F222" s="321"/>
      <c r="G222" s="9"/>
      <c r="H222" s="21"/>
      <c r="I222" s="42"/>
      <c r="J222" s="42"/>
      <c r="K222" s="42"/>
      <c r="L222" s="42"/>
      <c r="M222" s="64"/>
      <c r="N222" s="42"/>
      <c r="O222" s="21"/>
      <c r="P222" s="64"/>
      <c r="Q222" s="64"/>
      <c r="R222" s="64"/>
      <c r="S222" s="176"/>
      <c r="T222" s="405"/>
      <c r="U222" s="321"/>
      <c r="V222" s="321"/>
      <c r="W222" s="321"/>
      <c r="X222" s="321"/>
      <c r="Y222" s="9"/>
      <c r="Z222" s="9"/>
      <c r="AA222" s="9"/>
      <c r="AB222" s="9"/>
      <c r="AC222" s="9"/>
      <c r="AD222" s="9"/>
    </row>
    <row r="223" spans="2:30" x14ac:dyDescent="0.2">
      <c r="B223" s="11">
        <v>14</v>
      </c>
      <c r="C223" s="17">
        <v>0.37</v>
      </c>
      <c r="D223" s="51">
        <v>0.42</v>
      </c>
      <c r="E223" s="17">
        <v>0.46</v>
      </c>
      <c r="F223" s="321"/>
      <c r="G223" s="9"/>
      <c r="H223" s="64"/>
      <c r="I223" s="337"/>
      <c r="J223" s="42"/>
      <c r="K223" s="42"/>
      <c r="L223" s="42"/>
      <c r="M223" s="176"/>
      <c r="N223" s="42"/>
      <c r="O223" s="42"/>
      <c r="P223" s="42"/>
      <c r="Q223" s="42"/>
      <c r="R223" s="42"/>
      <c r="S223" s="176"/>
      <c r="T223" s="176"/>
      <c r="U223" s="321"/>
      <c r="V223" s="321"/>
      <c r="W223" s="321"/>
      <c r="X223" s="321"/>
      <c r="Y223" s="9"/>
      <c r="Z223" s="9"/>
      <c r="AA223" s="9"/>
      <c r="AB223" s="9"/>
      <c r="AC223" s="9"/>
      <c r="AD223" s="9"/>
    </row>
    <row r="224" spans="2:30" x14ac:dyDescent="0.2">
      <c r="B224" s="11">
        <v>15</v>
      </c>
      <c r="C224" s="17">
        <v>0.38</v>
      </c>
      <c r="D224" s="51">
        <v>0.33</v>
      </c>
      <c r="E224" s="17">
        <v>0.41</v>
      </c>
      <c r="F224" s="321"/>
      <c r="G224" s="9"/>
      <c r="H224" s="64"/>
      <c r="I224" s="321"/>
      <c r="J224" s="42"/>
      <c r="K224" s="42"/>
      <c r="L224" s="64"/>
      <c r="M224" s="42"/>
      <c r="N224" s="42"/>
      <c r="O224" s="42"/>
      <c r="P224" s="42"/>
      <c r="Q224" s="42"/>
      <c r="R224" s="42"/>
      <c r="S224" s="176"/>
      <c r="T224" s="176"/>
      <c r="U224" s="321"/>
      <c r="V224" s="321"/>
      <c r="W224" s="321"/>
      <c r="X224" s="176"/>
      <c r="Y224" s="9"/>
      <c r="Z224" s="9"/>
      <c r="AA224" s="9"/>
      <c r="AB224" s="9"/>
      <c r="AC224" s="9"/>
      <c r="AD224" s="9"/>
    </row>
    <row r="225" spans="2:30" x14ac:dyDescent="0.2">
      <c r="B225" s="11">
        <v>16</v>
      </c>
      <c r="C225" s="17">
        <v>0.41</v>
      </c>
      <c r="D225" s="51">
        <v>0.47</v>
      </c>
      <c r="E225" s="17">
        <v>0.49</v>
      </c>
      <c r="F225" s="321"/>
      <c r="G225" s="9"/>
      <c r="H225" s="64"/>
      <c r="I225" s="42"/>
      <c r="J225" s="42"/>
      <c r="K225" s="42"/>
      <c r="L225" s="42"/>
      <c r="M225" s="42"/>
      <c r="N225" s="42"/>
      <c r="O225" s="42"/>
      <c r="P225" s="42"/>
      <c r="Q225" s="42"/>
      <c r="R225" s="42"/>
      <c r="S225" s="176"/>
      <c r="T225" s="176"/>
      <c r="U225" s="321"/>
      <c r="V225" s="321"/>
      <c r="W225" s="176"/>
      <c r="X225" s="176"/>
      <c r="Y225" s="9"/>
      <c r="Z225" s="9"/>
      <c r="AA225" s="9"/>
      <c r="AB225" s="9"/>
      <c r="AC225" s="9"/>
      <c r="AD225" s="9"/>
    </row>
    <row r="226" spans="2:30" x14ac:dyDescent="0.2">
      <c r="B226" s="11">
        <v>17</v>
      </c>
      <c r="C226" s="17">
        <v>0.49</v>
      </c>
      <c r="D226" s="51">
        <v>0.51</v>
      </c>
      <c r="E226" s="17">
        <v>0.52</v>
      </c>
      <c r="F226" s="321"/>
      <c r="G226" s="9"/>
      <c r="H226" s="64"/>
      <c r="I226" s="42"/>
      <c r="J226" s="42"/>
      <c r="K226" s="42"/>
      <c r="L226" s="42"/>
      <c r="M226" s="42"/>
      <c r="N226" s="42"/>
      <c r="O226" s="42"/>
      <c r="P226" s="42"/>
      <c r="Q226" s="42"/>
      <c r="R226" s="42"/>
      <c r="S226" s="176"/>
      <c r="T226" s="176"/>
      <c r="U226" s="321"/>
      <c r="V226" s="321"/>
      <c r="W226" s="176"/>
      <c r="X226" s="176"/>
      <c r="Y226" s="9"/>
      <c r="Z226" s="9"/>
      <c r="AA226" s="9"/>
      <c r="AB226" s="9"/>
      <c r="AC226" s="9"/>
      <c r="AD226" s="9"/>
    </row>
    <row r="227" spans="2:30" x14ac:dyDescent="0.2">
      <c r="B227" s="11">
        <v>18</v>
      </c>
      <c r="C227" s="17">
        <v>0.36</v>
      </c>
      <c r="D227" s="51">
        <v>0.43</v>
      </c>
      <c r="E227" s="17">
        <v>0.67</v>
      </c>
      <c r="F227" s="321"/>
      <c r="G227" s="9"/>
      <c r="H227" s="64"/>
      <c r="I227" s="42"/>
      <c r="J227" s="42"/>
      <c r="K227" s="42"/>
      <c r="L227" s="42"/>
      <c r="M227" s="42"/>
      <c r="N227" s="42"/>
      <c r="O227" s="42"/>
      <c r="P227" s="42"/>
      <c r="Q227" s="42"/>
      <c r="R227" s="42"/>
      <c r="S227" s="176"/>
      <c r="T227" s="176"/>
      <c r="U227" s="321"/>
      <c r="V227" s="321"/>
      <c r="W227" s="176"/>
      <c r="X227" s="176"/>
      <c r="Y227" s="9"/>
      <c r="Z227" s="9"/>
      <c r="AA227" s="9"/>
      <c r="AB227" s="9"/>
      <c r="AC227" s="9"/>
      <c r="AD227" s="9"/>
    </row>
    <row r="228" spans="2:30" x14ac:dyDescent="0.2">
      <c r="B228" s="11">
        <v>19</v>
      </c>
      <c r="C228" s="17">
        <v>0.33</v>
      </c>
      <c r="D228" s="409">
        <v>0.80999999999999994</v>
      </c>
      <c r="E228" s="17">
        <v>0.76</v>
      </c>
      <c r="F228" s="321"/>
      <c r="G228" s="9"/>
      <c r="H228" s="64"/>
      <c r="I228" s="321"/>
      <c r="J228" s="176"/>
      <c r="K228" s="176"/>
      <c r="L228" s="176"/>
      <c r="M228" s="176"/>
      <c r="N228" s="176"/>
      <c r="O228" s="321"/>
      <c r="P228" s="321"/>
      <c r="Q228" s="321"/>
      <c r="R228" s="176"/>
      <c r="S228" s="176"/>
      <c r="T228" s="176"/>
      <c r="U228" s="321"/>
      <c r="V228" s="321"/>
      <c r="W228" s="176"/>
      <c r="X228" s="176"/>
      <c r="Y228" s="9"/>
      <c r="Z228" s="9"/>
      <c r="AA228" s="9"/>
      <c r="AB228" s="9"/>
      <c r="AC228" s="9"/>
      <c r="AD228" s="9"/>
    </row>
    <row r="229" spans="2:30" x14ac:dyDescent="0.2">
      <c r="B229" s="11">
        <v>20</v>
      </c>
      <c r="C229" s="17">
        <v>0.28000000000000003</v>
      </c>
      <c r="D229" s="409">
        <v>0.78999999999999992</v>
      </c>
      <c r="E229" s="17">
        <v>0.89</v>
      </c>
      <c r="F229" s="321"/>
      <c r="G229" s="9"/>
      <c r="H229" s="64"/>
      <c r="I229" s="321"/>
      <c r="J229" s="176"/>
      <c r="K229" s="176"/>
      <c r="L229" s="176"/>
      <c r="M229" s="176"/>
      <c r="N229" s="176"/>
      <c r="O229" s="321"/>
      <c r="P229" s="321"/>
      <c r="Q229" s="176"/>
      <c r="R229" s="176"/>
      <c r="S229" s="176"/>
      <c r="T229" s="176"/>
      <c r="U229" s="321"/>
      <c r="V229" s="321"/>
      <c r="W229" s="176"/>
      <c r="X229" s="176"/>
      <c r="Y229" s="9"/>
      <c r="Z229" s="9"/>
      <c r="AA229" s="9"/>
      <c r="AB229" s="9"/>
      <c r="AC229" s="9"/>
      <c r="AD229" s="9"/>
    </row>
    <row r="230" spans="2:30" x14ac:dyDescent="0.2">
      <c r="B230" s="11">
        <v>21</v>
      </c>
      <c r="C230" s="17">
        <v>0.39</v>
      </c>
      <c r="D230" s="409">
        <v>0.78999999999999992</v>
      </c>
      <c r="E230" s="17">
        <v>0.92</v>
      </c>
      <c r="F230" s="321"/>
      <c r="G230" s="9"/>
      <c r="H230" s="64"/>
      <c r="I230" s="321"/>
      <c r="J230" s="176"/>
      <c r="K230" s="176"/>
      <c r="L230" s="176"/>
      <c r="M230" s="176"/>
      <c r="N230" s="176"/>
      <c r="O230" s="321"/>
      <c r="P230" s="321"/>
      <c r="Q230" s="176"/>
      <c r="R230" s="176"/>
      <c r="S230" s="176"/>
      <c r="T230" s="176"/>
      <c r="U230" s="321"/>
      <c r="V230" s="321"/>
      <c r="W230" s="176"/>
      <c r="X230" s="176"/>
      <c r="Y230" s="9"/>
      <c r="Z230" s="9"/>
      <c r="AA230" s="9"/>
      <c r="AB230" s="9"/>
      <c r="AC230" s="9"/>
      <c r="AD230" s="9"/>
    </row>
    <row r="231" spans="2:30" x14ac:dyDescent="0.2">
      <c r="B231" s="11">
        <v>22</v>
      </c>
      <c r="C231" s="17">
        <v>0.31</v>
      </c>
      <c r="D231" s="409">
        <v>0.79999999999999982</v>
      </c>
      <c r="E231" s="17">
        <v>0.88</v>
      </c>
      <c r="F231" s="321"/>
      <c r="G231" s="9"/>
      <c r="H231" s="64"/>
      <c r="I231" s="321"/>
      <c r="J231" s="176"/>
      <c r="K231" s="176"/>
      <c r="L231" s="176"/>
      <c r="M231" s="176"/>
      <c r="N231" s="176"/>
      <c r="O231" s="321"/>
      <c r="P231" s="321"/>
      <c r="Q231" s="176"/>
      <c r="R231" s="176"/>
      <c r="S231" s="176"/>
      <c r="T231" s="176"/>
      <c r="U231" s="321"/>
      <c r="V231" s="176"/>
      <c r="W231" s="176"/>
      <c r="X231" s="176"/>
      <c r="Y231" s="9"/>
      <c r="Z231" s="9"/>
      <c r="AA231" s="9"/>
      <c r="AB231" s="9"/>
      <c r="AC231" s="9"/>
      <c r="AD231" s="9"/>
    </row>
    <row r="232" spans="2:30" x14ac:dyDescent="0.2">
      <c r="B232" s="11">
        <v>23</v>
      </c>
      <c r="C232" s="17">
        <v>0.37</v>
      </c>
      <c r="D232" s="409">
        <v>0.82999999999999985</v>
      </c>
      <c r="E232" s="319"/>
      <c r="F232" s="321"/>
      <c r="G232" s="9"/>
      <c r="H232" s="21"/>
      <c r="I232" s="64"/>
      <c r="J232" s="64"/>
      <c r="K232" s="64"/>
      <c r="L232" s="64"/>
      <c r="M232" s="64"/>
      <c r="N232" s="21"/>
      <c r="O232" s="64"/>
      <c r="P232" s="64"/>
      <c r="Q232" s="64"/>
      <c r="R232" s="64"/>
      <c r="S232" s="64"/>
      <c r="T232" s="21"/>
      <c r="U232" s="64"/>
      <c r="V232" s="64"/>
      <c r="W232" s="64"/>
      <c r="X232" s="64"/>
      <c r="Y232" s="9"/>
      <c r="Z232" s="9"/>
      <c r="AA232" s="9"/>
      <c r="AB232" s="9"/>
      <c r="AC232" s="9"/>
      <c r="AD232" s="9"/>
    </row>
    <row r="233" spans="2:30" x14ac:dyDescent="0.2">
      <c r="B233" s="11">
        <v>24</v>
      </c>
      <c r="C233" s="17">
        <v>0.26</v>
      </c>
      <c r="D233" s="409">
        <v>0.81999999999999984</v>
      </c>
      <c r="E233" s="319"/>
      <c r="F233" s="321"/>
      <c r="G233" s="9"/>
      <c r="H233" s="64"/>
      <c r="I233" s="21"/>
      <c r="J233" s="21"/>
      <c r="K233" s="21"/>
      <c r="L233" s="21"/>
      <c r="M233" s="64"/>
      <c r="N233" s="64"/>
      <c r="O233" s="21"/>
      <c r="P233" s="21"/>
      <c r="Q233" s="21"/>
      <c r="R233" s="21"/>
      <c r="S233" s="64"/>
      <c r="T233" s="64"/>
      <c r="U233" s="21"/>
      <c r="V233" s="21"/>
      <c r="W233" s="21"/>
      <c r="X233" s="21"/>
      <c r="Y233" s="9"/>
      <c r="Z233" s="9"/>
      <c r="AA233" s="9"/>
      <c r="AB233" s="9"/>
      <c r="AC233" s="9"/>
      <c r="AD233" s="9"/>
    </row>
    <row r="234" spans="2:30" x14ac:dyDescent="0.2">
      <c r="B234" s="11">
        <v>25</v>
      </c>
      <c r="C234" s="17">
        <v>0.44</v>
      </c>
      <c r="D234" s="409">
        <v>0.81999999999999984</v>
      </c>
      <c r="E234" s="319"/>
      <c r="F234" s="321"/>
      <c r="G234" s="9"/>
      <c r="H234" s="9"/>
      <c r="I234" s="64"/>
      <c r="J234" s="64"/>
      <c r="K234" s="64"/>
      <c r="L234" s="64"/>
      <c r="M234" s="64"/>
      <c r="N234" s="21"/>
      <c r="O234" s="64"/>
      <c r="P234" s="64"/>
      <c r="Q234" s="64"/>
      <c r="R234" s="64"/>
      <c r="S234" s="64"/>
      <c r="T234" s="21"/>
      <c r="U234" s="64"/>
      <c r="V234" s="64"/>
      <c r="W234" s="64"/>
      <c r="X234" s="64"/>
      <c r="Y234" s="9"/>
      <c r="Z234" s="9"/>
      <c r="AA234" s="9"/>
      <c r="AB234" s="9"/>
      <c r="AC234" s="9"/>
      <c r="AD234" s="9"/>
    </row>
    <row r="235" spans="2:30" x14ac:dyDescent="0.2">
      <c r="B235" s="11">
        <v>26</v>
      </c>
      <c r="C235" s="17">
        <v>0.49</v>
      </c>
      <c r="D235" s="409">
        <v>0.92999999999999994</v>
      </c>
      <c r="E235" s="319"/>
      <c r="F235" s="321"/>
      <c r="G235" s="9"/>
      <c r="H235" s="9"/>
      <c r="I235" s="64"/>
      <c r="J235" s="64"/>
      <c r="K235" s="64"/>
      <c r="L235" s="64"/>
      <c r="M235" s="64"/>
      <c r="N235" s="64"/>
      <c r="O235" s="64"/>
      <c r="P235" s="64"/>
      <c r="Q235" s="64"/>
      <c r="R235" s="64"/>
      <c r="S235" s="64"/>
      <c r="T235" s="64"/>
      <c r="U235" s="64"/>
      <c r="V235" s="64"/>
      <c r="W235" s="64"/>
      <c r="X235" s="64"/>
      <c r="Y235" s="9"/>
      <c r="Z235" s="9"/>
      <c r="AA235" s="9"/>
      <c r="AB235" s="9"/>
      <c r="AC235" s="9"/>
      <c r="AD235" s="9"/>
    </row>
    <row r="236" spans="2:30" x14ac:dyDescent="0.2">
      <c r="B236" s="11">
        <v>27</v>
      </c>
      <c r="C236" s="17">
        <v>0.27</v>
      </c>
      <c r="D236" s="409">
        <v>0.91999999999999993</v>
      </c>
      <c r="E236" s="410"/>
      <c r="F236" s="321"/>
      <c r="G236" s="9"/>
      <c r="H236" s="9"/>
      <c r="I236" s="64"/>
      <c r="J236" s="64"/>
      <c r="K236" s="64"/>
      <c r="L236" s="64"/>
      <c r="M236" s="64"/>
      <c r="N236" s="64"/>
      <c r="O236" s="64"/>
      <c r="P236" s="64"/>
      <c r="Q236" s="64"/>
      <c r="R236" s="64"/>
      <c r="S236" s="64"/>
      <c r="T236" s="64"/>
      <c r="U236" s="64"/>
      <c r="V236" s="64"/>
      <c r="W236" s="64"/>
      <c r="X236" s="64"/>
      <c r="Y236" s="9"/>
      <c r="Z236" s="9"/>
      <c r="AA236" s="9"/>
      <c r="AB236" s="9"/>
      <c r="AC236" s="9"/>
      <c r="AD236" s="9"/>
    </row>
    <row r="237" spans="2:30" x14ac:dyDescent="0.2">
      <c r="B237" s="11">
        <v>28</v>
      </c>
      <c r="C237" s="17">
        <v>0.46</v>
      </c>
      <c r="D237" s="51">
        <v>0.88</v>
      </c>
      <c r="E237" s="17"/>
      <c r="F237" s="321"/>
      <c r="G237" s="9"/>
      <c r="H237" s="9"/>
      <c r="I237" s="64"/>
      <c r="J237" s="64"/>
      <c r="K237" s="64"/>
      <c r="L237" s="64"/>
      <c r="M237" s="64"/>
      <c r="N237" s="64"/>
      <c r="O237" s="64"/>
      <c r="P237" s="64"/>
      <c r="Q237" s="64"/>
      <c r="R237" s="64"/>
      <c r="S237" s="64"/>
      <c r="T237" s="64"/>
      <c r="U237" s="64"/>
      <c r="V237" s="64"/>
      <c r="W237" s="64"/>
      <c r="X237" s="64"/>
      <c r="Y237" s="9"/>
      <c r="Z237" s="9"/>
      <c r="AA237" s="9"/>
      <c r="AB237" s="9"/>
      <c r="AC237" s="9"/>
      <c r="AD237" s="9"/>
    </row>
    <row r="238" spans="2:30" x14ac:dyDescent="0.2">
      <c r="B238" s="11">
        <v>29</v>
      </c>
      <c r="C238" s="17">
        <v>0.44</v>
      </c>
      <c r="D238" s="51">
        <v>0.76</v>
      </c>
      <c r="E238" s="17"/>
      <c r="F238" s="321"/>
      <c r="G238" s="9"/>
      <c r="H238" s="9"/>
      <c r="I238" s="64"/>
      <c r="J238" s="64"/>
      <c r="K238" s="64"/>
      <c r="L238" s="64"/>
      <c r="M238" s="64"/>
      <c r="N238" s="64"/>
      <c r="O238" s="64"/>
      <c r="P238" s="64"/>
      <c r="Q238" s="64"/>
      <c r="R238" s="64"/>
      <c r="S238" s="64"/>
      <c r="T238" s="64"/>
      <c r="U238" s="64"/>
      <c r="V238" s="64"/>
      <c r="W238" s="64"/>
      <c r="X238" s="64"/>
      <c r="Y238" s="9"/>
      <c r="Z238" s="9"/>
      <c r="AA238" s="9"/>
      <c r="AB238" s="9"/>
      <c r="AC238" s="9"/>
      <c r="AD238" s="9"/>
    </row>
    <row r="239" spans="2:30" x14ac:dyDescent="0.2">
      <c r="B239" s="11">
        <v>30</v>
      </c>
      <c r="C239" s="17">
        <v>0.52</v>
      </c>
      <c r="D239" s="51">
        <v>0.52</v>
      </c>
      <c r="E239" s="410"/>
      <c r="F239" s="64"/>
      <c r="G239" s="9"/>
      <c r="H239" s="9"/>
      <c r="I239" s="64"/>
      <c r="J239" s="64"/>
      <c r="K239" s="64"/>
      <c r="L239" s="64"/>
      <c r="M239" s="64"/>
      <c r="N239" s="64"/>
      <c r="O239" s="64"/>
      <c r="P239" s="64"/>
      <c r="Q239" s="64"/>
      <c r="R239" s="64"/>
      <c r="S239" s="64"/>
      <c r="T239" s="64"/>
      <c r="U239" s="64"/>
      <c r="V239" s="64"/>
      <c r="W239" s="64"/>
      <c r="X239" s="64"/>
      <c r="Y239" s="9"/>
      <c r="Z239" s="9"/>
      <c r="AA239" s="9"/>
      <c r="AB239" s="9"/>
      <c r="AC239" s="9"/>
      <c r="AD239" s="9"/>
    </row>
    <row r="240" spans="2:30" x14ac:dyDescent="0.2">
      <c r="B240" s="69" t="s">
        <v>51</v>
      </c>
      <c r="C240" s="13">
        <f>AVERAGE(C210:C239)</f>
        <v>0.36133333333333334</v>
      </c>
      <c r="D240" s="13">
        <f>AVERAGE(D210:D239)</f>
        <v>0.57857372654155492</v>
      </c>
      <c r="E240" s="13">
        <f>AVERAGE(E210:E239)</f>
        <v>0.66136363636363638</v>
      </c>
      <c r="F240" s="64"/>
      <c r="G240" s="9"/>
      <c r="H240" s="9"/>
      <c r="I240" s="64"/>
      <c r="J240" s="64"/>
      <c r="K240" s="64"/>
      <c r="L240" s="64"/>
      <c r="M240" s="64"/>
      <c r="N240" s="64"/>
      <c r="O240" s="64"/>
      <c r="P240" s="64"/>
      <c r="Q240" s="64"/>
      <c r="R240" s="64"/>
      <c r="S240" s="64"/>
      <c r="T240" s="64"/>
      <c r="U240" s="64"/>
      <c r="V240" s="64"/>
      <c r="W240" s="64"/>
      <c r="X240" s="64"/>
      <c r="Y240" s="9"/>
      <c r="Z240" s="9"/>
      <c r="AA240" s="9"/>
      <c r="AB240" s="9"/>
      <c r="AC240" s="9"/>
      <c r="AD240" s="9"/>
    </row>
    <row r="241" spans="2:30" x14ac:dyDescent="0.2">
      <c r="B241" s="9"/>
      <c r="C241" s="9"/>
      <c r="D241" s="9"/>
      <c r="E241" s="9"/>
      <c r="F241" s="64"/>
      <c r="G241" s="9"/>
      <c r="H241" s="9"/>
      <c r="I241" s="64"/>
      <c r="J241" s="64"/>
      <c r="K241" s="64"/>
      <c r="L241" s="64"/>
      <c r="M241" s="64"/>
      <c r="N241" s="64"/>
      <c r="O241" s="64"/>
      <c r="P241" s="64"/>
      <c r="Q241" s="64"/>
      <c r="R241" s="64"/>
      <c r="S241" s="64"/>
      <c r="T241" s="64"/>
      <c r="U241" s="64"/>
      <c r="V241" s="64"/>
      <c r="W241" s="64"/>
      <c r="X241" s="64"/>
      <c r="Y241" s="9"/>
      <c r="Z241" s="9"/>
      <c r="AA241" s="9"/>
      <c r="AB241" s="9"/>
      <c r="AC241" s="9"/>
      <c r="AD241" s="9"/>
    </row>
    <row r="242" spans="2:30" x14ac:dyDescent="0.2">
      <c r="B242" s="9"/>
      <c r="C242" s="9"/>
      <c r="D242" s="9"/>
      <c r="E242" s="9"/>
      <c r="F242" s="64"/>
      <c r="G242" s="9"/>
      <c r="H242" s="9"/>
      <c r="I242" s="64"/>
      <c r="J242" s="64"/>
      <c r="K242" s="64"/>
      <c r="L242" s="64"/>
      <c r="M242" s="64"/>
      <c r="N242" s="64"/>
      <c r="O242" s="64"/>
      <c r="P242" s="64"/>
      <c r="Q242" s="64"/>
      <c r="R242" s="64"/>
      <c r="S242" s="64"/>
      <c r="T242" s="64"/>
      <c r="U242" s="64"/>
      <c r="V242" s="64"/>
      <c r="W242" s="64"/>
      <c r="X242" s="64"/>
      <c r="Y242" s="9"/>
      <c r="Z242" s="9"/>
      <c r="AA242" s="9"/>
      <c r="AB242" s="9"/>
      <c r="AC242" s="9"/>
      <c r="AD242" s="9"/>
    </row>
    <row r="243" spans="2:30" x14ac:dyDescent="0.2">
      <c r="B243" s="9"/>
      <c r="C243" s="52"/>
      <c r="D243" s="9"/>
      <c r="E243" s="137"/>
      <c r="F243" s="64"/>
      <c r="G243" s="9"/>
      <c r="H243" s="9"/>
      <c r="I243" s="64"/>
      <c r="J243" s="64"/>
      <c r="K243" s="64"/>
      <c r="L243" s="64"/>
      <c r="M243" s="64"/>
      <c r="N243" s="64"/>
      <c r="O243" s="64"/>
      <c r="P243" s="64"/>
      <c r="Q243" s="64"/>
      <c r="R243" s="64"/>
      <c r="S243" s="64"/>
      <c r="T243" s="64"/>
      <c r="U243" s="64"/>
      <c r="V243" s="64"/>
      <c r="W243" s="64"/>
      <c r="X243" s="64"/>
      <c r="Y243" s="9"/>
      <c r="Z243" s="9"/>
      <c r="AA243" s="9"/>
      <c r="AB243" s="9"/>
      <c r="AC243" s="9"/>
      <c r="AD243" s="9"/>
    </row>
    <row r="244" spans="2:30" x14ac:dyDescent="0.2">
      <c r="B244" s="175" t="s">
        <v>960</v>
      </c>
      <c r="C244" s="316" t="s">
        <v>298</v>
      </c>
      <c r="D244" s="316" t="s">
        <v>943</v>
      </c>
      <c r="E244" s="316" t="s">
        <v>944</v>
      </c>
      <c r="F244" s="64"/>
      <c r="G244" s="9"/>
      <c r="H244" s="9"/>
      <c r="I244" s="64"/>
      <c r="J244" s="64"/>
      <c r="K244" s="64"/>
      <c r="L244" s="64"/>
      <c r="M244" s="64"/>
      <c r="N244" s="64"/>
      <c r="O244" s="64"/>
      <c r="P244" s="64"/>
      <c r="Q244" s="64"/>
      <c r="R244" s="64"/>
      <c r="S244" s="64"/>
      <c r="T244" s="64"/>
      <c r="U244" s="64"/>
      <c r="V244" s="64"/>
      <c r="W244" s="64"/>
      <c r="X244" s="64"/>
      <c r="Y244" s="9"/>
      <c r="Z244" s="9"/>
      <c r="AA244" s="9"/>
      <c r="AB244" s="9"/>
      <c r="AC244" s="9"/>
      <c r="AD244" s="9"/>
    </row>
    <row r="245" spans="2:30" x14ac:dyDescent="0.2">
      <c r="B245" s="444" t="s">
        <v>957</v>
      </c>
      <c r="C245" s="318" t="s">
        <v>990</v>
      </c>
      <c r="D245" s="318" t="s">
        <v>990</v>
      </c>
      <c r="E245" s="318" t="s">
        <v>990</v>
      </c>
      <c r="F245" s="321"/>
      <c r="G245" s="9"/>
      <c r="H245" s="9"/>
      <c r="I245" s="64"/>
      <c r="J245" s="64"/>
      <c r="K245" s="64"/>
      <c r="L245" s="64"/>
      <c r="M245" s="64"/>
      <c r="N245" s="64"/>
      <c r="O245" s="64"/>
      <c r="P245" s="64"/>
      <c r="Q245" s="64"/>
      <c r="R245" s="64"/>
      <c r="S245" s="64"/>
      <c r="T245" s="64"/>
      <c r="U245" s="64"/>
      <c r="V245" s="64"/>
      <c r="W245" s="64"/>
      <c r="X245" s="64"/>
      <c r="Y245" s="9"/>
      <c r="Z245" s="9"/>
      <c r="AA245" s="9"/>
      <c r="AB245" s="9"/>
      <c r="AC245" s="9"/>
      <c r="AD245" s="9"/>
    </row>
    <row r="246" spans="2:30" x14ac:dyDescent="0.2">
      <c r="B246" s="11">
        <v>1</v>
      </c>
      <c r="C246" s="17">
        <v>0.26000000000000012</v>
      </c>
      <c r="D246" s="13">
        <v>0.52631578947368429</v>
      </c>
      <c r="E246" s="13">
        <v>0.94</v>
      </c>
      <c r="F246" s="321"/>
      <c r="G246" s="9"/>
      <c r="H246" s="9"/>
      <c r="I246" s="64"/>
      <c r="J246" s="64"/>
      <c r="K246" s="64"/>
      <c r="L246" s="64"/>
      <c r="M246" s="64"/>
      <c r="N246" s="64"/>
      <c r="O246" s="64"/>
      <c r="P246" s="64"/>
      <c r="Q246" s="64"/>
      <c r="R246" s="64"/>
      <c r="S246" s="64"/>
      <c r="T246" s="64"/>
      <c r="U246" s="64"/>
      <c r="V246" s="64"/>
      <c r="W246" s="64"/>
      <c r="X246" s="64"/>
      <c r="Y246" s="9"/>
      <c r="Z246" s="9"/>
      <c r="AA246" s="9"/>
      <c r="AB246" s="9"/>
      <c r="AC246" s="9"/>
      <c r="AD246" s="9"/>
    </row>
    <row r="247" spans="2:30" x14ac:dyDescent="0.2">
      <c r="B247" s="11">
        <v>2</v>
      </c>
      <c r="C247" s="17">
        <v>0.21000000000000008</v>
      </c>
      <c r="D247" s="13">
        <v>0.62078272604588403</v>
      </c>
      <c r="E247" s="13">
        <v>0.9</v>
      </c>
      <c r="F247" s="321"/>
      <c r="G247" s="9"/>
      <c r="H247" s="9"/>
      <c r="I247" s="64"/>
      <c r="J247" s="64"/>
      <c r="K247" s="64"/>
      <c r="L247" s="64"/>
      <c r="M247" s="64"/>
      <c r="N247" s="64"/>
      <c r="O247" s="64"/>
      <c r="P247" s="64"/>
      <c r="Q247" s="64"/>
      <c r="R247" s="64"/>
      <c r="S247" s="64"/>
      <c r="T247" s="64"/>
      <c r="U247" s="64"/>
      <c r="V247" s="64"/>
      <c r="W247" s="64"/>
      <c r="X247" s="64"/>
      <c r="Y247" s="9"/>
      <c r="Z247" s="9"/>
      <c r="AA247" s="9"/>
      <c r="AB247" s="9"/>
      <c r="AC247" s="9"/>
      <c r="AD247" s="9"/>
    </row>
    <row r="248" spans="2:30" x14ac:dyDescent="0.2">
      <c r="B248" s="11">
        <v>3</v>
      </c>
      <c r="C248" s="17">
        <v>0.20000000000000007</v>
      </c>
      <c r="D248" s="13">
        <v>0.60728744939271262</v>
      </c>
      <c r="E248" s="13">
        <v>0.9</v>
      </c>
      <c r="F248" s="321"/>
      <c r="G248" s="9"/>
      <c r="H248" s="9"/>
      <c r="I248" s="64"/>
      <c r="J248" s="64"/>
      <c r="K248" s="64"/>
      <c r="L248" s="64"/>
      <c r="M248" s="64"/>
      <c r="N248" s="64"/>
      <c r="O248" s="64"/>
      <c r="P248" s="64"/>
      <c r="Q248" s="64"/>
      <c r="R248" s="64"/>
      <c r="S248" s="64"/>
      <c r="T248" s="64"/>
      <c r="U248" s="64"/>
      <c r="V248" s="64"/>
      <c r="W248" s="64"/>
      <c r="X248" s="64"/>
      <c r="Y248" s="9"/>
      <c r="Z248" s="9"/>
      <c r="AA248" s="9"/>
      <c r="AB248" s="9"/>
      <c r="AC248" s="9"/>
      <c r="AD248" s="9"/>
    </row>
    <row r="249" spans="2:30" x14ac:dyDescent="0.2">
      <c r="B249" s="11">
        <v>4</v>
      </c>
      <c r="C249" s="17">
        <v>0.25</v>
      </c>
      <c r="D249" s="13">
        <v>0.59379217273954121</v>
      </c>
      <c r="E249" s="13">
        <v>0.83000000000000007</v>
      </c>
      <c r="F249" s="405"/>
      <c r="G249" s="9"/>
      <c r="H249" s="9"/>
      <c r="I249" s="64"/>
      <c r="J249" s="64"/>
      <c r="K249" s="64"/>
      <c r="L249" s="64"/>
      <c r="M249" s="64"/>
      <c r="N249" s="64"/>
      <c r="O249" s="64"/>
      <c r="P249" s="64"/>
      <c r="Q249" s="64"/>
      <c r="R249" s="64"/>
      <c r="S249" s="64"/>
      <c r="T249" s="64"/>
      <c r="U249" s="64"/>
      <c r="V249" s="64"/>
      <c r="W249" s="64"/>
      <c r="X249" s="64"/>
      <c r="Y249" s="9"/>
      <c r="Z249" s="9"/>
      <c r="AA249" s="9"/>
      <c r="AB249" s="9"/>
      <c r="AC249" s="9"/>
      <c r="AD249" s="9"/>
    </row>
    <row r="250" spans="2:30" x14ac:dyDescent="0.2">
      <c r="B250" s="11">
        <v>5</v>
      </c>
      <c r="C250" s="17">
        <v>0.34</v>
      </c>
      <c r="D250" s="13">
        <v>0.52631578947368418</v>
      </c>
      <c r="E250" s="13">
        <v>0.84</v>
      </c>
      <c r="F250" s="64"/>
      <c r="G250" s="9"/>
      <c r="H250" s="9"/>
      <c r="I250" s="64"/>
      <c r="J250" s="64"/>
      <c r="K250" s="64"/>
      <c r="L250" s="64"/>
      <c r="M250" s="64"/>
      <c r="N250" s="64"/>
      <c r="O250" s="64"/>
      <c r="P250" s="64"/>
      <c r="Q250" s="64"/>
      <c r="R250" s="64"/>
      <c r="S250" s="64"/>
      <c r="T250" s="64"/>
      <c r="U250" s="64"/>
      <c r="V250" s="64"/>
      <c r="W250" s="64"/>
      <c r="X250" s="64"/>
      <c r="Y250" s="9"/>
      <c r="Z250" s="9"/>
      <c r="AA250" s="9"/>
      <c r="AB250" s="9"/>
      <c r="AC250" s="9"/>
      <c r="AD250" s="9"/>
    </row>
    <row r="251" spans="2:30" x14ac:dyDescent="0.2">
      <c r="B251" s="11">
        <v>6</v>
      </c>
      <c r="C251" s="17">
        <v>0.20999999999999996</v>
      </c>
      <c r="D251" s="13">
        <v>0.76</v>
      </c>
      <c r="E251" s="13">
        <v>0.87</v>
      </c>
      <c r="F251" s="64"/>
      <c r="G251" s="9"/>
      <c r="H251" s="9"/>
      <c r="I251" s="64"/>
      <c r="J251" s="64"/>
      <c r="K251" s="64"/>
      <c r="L251" s="64"/>
      <c r="M251" s="64"/>
      <c r="N251" s="64"/>
      <c r="O251" s="64"/>
      <c r="P251" s="64"/>
      <c r="Q251" s="64"/>
      <c r="R251" s="64"/>
      <c r="S251" s="64"/>
      <c r="T251" s="64"/>
      <c r="U251" s="64"/>
      <c r="V251" s="64"/>
      <c r="W251" s="64"/>
      <c r="X251" s="64"/>
      <c r="Y251" s="9"/>
      <c r="Z251" s="9"/>
      <c r="AA251" s="9"/>
      <c r="AB251" s="9"/>
      <c r="AC251" s="9"/>
      <c r="AD251" s="9"/>
    </row>
    <row r="252" spans="2:30" x14ac:dyDescent="0.2">
      <c r="B252" s="11">
        <v>7</v>
      </c>
      <c r="C252" s="17">
        <v>0.24</v>
      </c>
      <c r="D252" s="13">
        <v>0.59</v>
      </c>
      <c r="E252" s="13">
        <v>0.94</v>
      </c>
      <c r="F252" s="21"/>
      <c r="G252" s="9"/>
      <c r="H252" s="9"/>
      <c r="I252" s="64"/>
      <c r="J252" s="64"/>
      <c r="K252" s="64"/>
      <c r="L252" s="64"/>
      <c r="M252" s="64"/>
      <c r="N252" s="64"/>
      <c r="O252" s="64"/>
      <c r="P252" s="64"/>
      <c r="Q252" s="64"/>
      <c r="R252" s="64"/>
      <c r="S252" s="64"/>
      <c r="T252" s="64"/>
      <c r="U252" s="64"/>
      <c r="V252" s="64"/>
      <c r="W252" s="64"/>
      <c r="X252" s="64"/>
      <c r="Y252" s="9"/>
      <c r="Z252" s="9"/>
      <c r="AA252" s="9"/>
      <c r="AB252" s="9"/>
      <c r="AC252" s="9"/>
      <c r="AD252" s="9"/>
    </row>
    <row r="253" spans="2:30" x14ac:dyDescent="0.2">
      <c r="B253" s="11">
        <v>8</v>
      </c>
      <c r="C253" s="17">
        <v>0.31000000000000005</v>
      </c>
      <c r="D253" s="13">
        <v>0.62</v>
      </c>
      <c r="E253" s="13">
        <v>0.96</v>
      </c>
      <c r="F253" s="21"/>
      <c r="G253" s="9"/>
      <c r="H253" s="9"/>
      <c r="I253" s="64"/>
      <c r="J253" s="64"/>
      <c r="K253" s="64"/>
      <c r="L253" s="64"/>
      <c r="M253" s="64"/>
      <c r="N253" s="64"/>
      <c r="O253" s="64"/>
      <c r="P253" s="64"/>
      <c r="Q253" s="64"/>
      <c r="R253" s="64"/>
      <c r="S253" s="64"/>
      <c r="T253" s="64"/>
      <c r="U253" s="64"/>
      <c r="V253" s="64"/>
      <c r="W253" s="64"/>
      <c r="X253" s="64"/>
      <c r="Y253" s="9"/>
      <c r="Z253" s="9"/>
      <c r="AA253" s="9"/>
      <c r="AB253" s="9"/>
      <c r="AC253" s="9"/>
      <c r="AD253" s="9"/>
    </row>
    <row r="254" spans="2:30" x14ac:dyDescent="0.2">
      <c r="B254" s="11">
        <v>9</v>
      </c>
      <c r="C254" s="17">
        <v>0.27000000000000013</v>
      </c>
      <c r="D254" s="13">
        <v>0.66</v>
      </c>
      <c r="E254" s="17">
        <v>0.92</v>
      </c>
      <c r="F254" s="325"/>
      <c r="G254" s="9"/>
      <c r="H254" s="9"/>
      <c r="I254" s="64"/>
      <c r="J254" s="64"/>
      <c r="K254" s="64"/>
      <c r="L254" s="64"/>
      <c r="M254" s="64"/>
      <c r="N254" s="64"/>
      <c r="O254" s="64"/>
      <c r="P254" s="64"/>
      <c r="Q254" s="64"/>
      <c r="R254" s="64"/>
      <c r="S254" s="64"/>
      <c r="T254" s="64"/>
      <c r="U254" s="64"/>
      <c r="V254" s="64"/>
      <c r="W254" s="64"/>
      <c r="X254" s="64"/>
      <c r="Y254" s="9"/>
      <c r="Z254" s="9"/>
      <c r="AA254" s="9"/>
      <c r="AB254" s="9"/>
      <c r="AC254" s="9"/>
      <c r="AD254" s="9"/>
    </row>
    <row r="255" spans="2:30" x14ac:dyDescent="0.2">
      <c r="B255" s="11">
        <v>10</v>
      </c>
      <c r="C255" s="17">
        <v>0.27000000000000013</v>
      </c>
      <c r="D255" s="13">
        <v>0.67</v>
      </c>
      <c r="E255" s="17">
        <v>0.89</v>
      </c>
      <c r="F255" s="406"/>
      <c r="G255" s="9"/>
      <c r="H255" s="9"/>
      <c r="I255" s="64"/>
      <c r="J255" s="64"/>
      <c r="K255" s="64"/>
      <c r="L255" s="64"/>
      <c r="M255" s="64"/>
      <c r="N255" s="64"/>
      <c r="O255" s="64"/>
      <c r="P255" s="64"/>
      <c r="Q255" s="64"/>
      <c r="R255" s="64"/>
      <c r="S255" s="64"/>
      <c r="T255" s="64"/>
      <c r="U255" s="64"/>
      <c r="V255" s="64"/>
      <c r="W255" s="64"/>
      <c r="X255" s="64"/>
      <c r="Y255" s="9"/>
      <c r="Z255" s="9"/>
      <c r="AA255" s="9"/>
      <c r="AB255" s="9"/>
      <c r="AC255" s="9"/>
      <c r="AD255" s="9"/>
    </row>
    <row r="256" spans="2:30" x14ac:dyDescent="0.2">
      <c r="B256" s="11">
        <v>11</v>
      </c>
      <c r="C256" s="407">
        <v>0.18</v>
      </c>
      <c r="D256" s="407">
        <v>0.75</v>
      </c>
      <c r="E256" s="407">
        <v>0.93</v>
      </c>
      <c r="F256" s="406"/>
      <c r="G256" s="9"/>
      <c r="H256" s="9"/>
      <c r="I256" s="64"/>
      <c r="J256" s="64"/>
      <c r="K256" s="64"/>
      <c r="L256" s="64"/>
      <c r="M256" s="64"/>
      <c r="N256" s="64"/>
      <c r="O256" s="64"/>
      <c r="P256" s="64"/>
      <c r="Q256" s="64"/>
      <c r="R256" s="64"/>
      <c r="S256" s="64"/>
      <c r="T256" s="64"/>
      <c r="U256" s="64"/>
      <c r="V256" s="64"/>
      <c r="W256" s="64"/>
      <c r="X256" s="64"/>
      <c r="Y256" s="9"/>
      <c r="Z256" s="9"/>
      <c r="AA256" s="9"/>
      <c r="AB256" s="9"/>
      <c r="AC256" s="9"/>
      <c r="AD256" s="9"/>
    </row>
    <row r="257" spans="2:30" x14ac:dyDescent="0.2">
      <c r="B257" s="11">
        <v>12</v>
      </c>
      <c r="C257" s="407">
        <v>0.28000000000000003</v>
      </c>
      <c r="D257" s="407">
        <v>0.8</v>
      </c>
      <c r="E257" s="407">
        <v>0.88</v>
      </c>
      <c r="F257" s="406"/>
      <c r="G257" s="9"/>
      <c r="H257" s="9"/>
      <c r="I257" s="64"/>
      <c r="J257" s="64"/>
      <c r="K257" s="64"/>
      <c r="L257" s="64"/>
      <c r="M257" s="64"/>
      <c r="N257" s="64"/>
      <c r="O257" s="64"/>
      <c r="P257" s="64"/>
      <c r="Q257" s="64"/>
      <c r="R257" s="64"/>
      <c r="S257" s="64"/>
      <c r="T257" s="64"/>
      <c r="U257" s="64"/>
      <c r="V257" s="64"/>
      <c r="W257" s="64"/>
      <c r="X257" s="64"/>
      <c r="Y257" s="9"/>
      <c r="Z257" s="9"/>
      <c r="AA257" s="9"/>
      <c r="AB257" s="9"/>
      <c r="AC257" s="9"/>
      <c r="AD257" s="9"/>
    </row>
    <row r="258" spans="2:30" x14ac:dyDescent="0.2">
      <c r="B258" s="69" t="s">
        <v>51</v>
      </c>
      <c r="C258" s="315">
        <f>AVERAGE(C246:C257)</f>
        <v>0.25166666666666671</v>
      </c>
      <c r="D258" s="315">
        <f>AVERAGE(D246:D257)</f>
        <v>0.64370782726045883</v>
      </c>
      <c r="E258" s="315">
        <f>AVERAGE(E246:E257)</f>
        <v>0.90000000000000024</v>
      </c>
      <c r="F258" s="406"/>
      <c r="G258" s="9"/>
      <c r="H258" s="9"/>
      <c r="I258" s="64"/>
      <c r="J258" s="64"/>
      <c r="K258" s="64"/>
      <c r="L258" s="64"/>
      <c r="M258" s="64"/>
      <c r="N258" s="64"/>
      <c r="O258" s="64"/>
      <c r="P258" s="64"/>
      <c r="Q258" s="64"/>
      <c r="R258" s="64"/>
      <c r="S258" s="64"/>
      <c r="T258" s="64"/>
      <c r="U258" s="64"/>
      <c r="V258" s="64"/>
      <c r="W258" s="64"/>
      <c r="X258" s="64"/>
      <c r="Y258" s="9"/>
      <c r="Z258" s="9"/>
      <c r="AA258" s="9"/>
      <c r="AB258" s="9"/>
      <c r="AC258" s="9"/>
      <c r="AD258" s="9"/>
    </row>
    <row r="259" spans="2:30" x14ac:dyDescent="0.2">
      <c r="B259" s="9"/>
      <c r="C259" s="9"/>
      <c r="D259" s="9"/>
      <c r="E259" s="9"/>
      <c r="F259" s="406"/>
      <c r="G259" s="9"/>
      <c r="H259" s="9"/>
      <c r="I259" s="64"/>
      <c r="J259" s="64"/>
      <c r="K259" s="64"/>
      <c r="L259" s="64"/>
      <c r="M259" s="64"/>
      <c r="N259" s="64"/>
      <c r="O259" s="64"/>
      <c r="P259" s="64"/>
      <c r="Q259" s="64"/>
      <c r="R259" s="64"/>
      <c r="S259" s="64"/>
      <c r="T259" s="64"/>
      <c r="U259" s="64"/>
      <c r="V259" s="64"/>
      <c r="W259" s="64"/>
      <c r="X259" s="64"/>
      <c r="Y259" s="9"/>
      <c r="Z259" s="9"/>
      <c r="AA259" s="9"/>
      <c r="AB259" s="9"/>
      <c r="AC259" s="9"/>
      <c r="AD259" s="9"/>
    </row>
    <row r="260" spans="2:30" x14ac:dyDescent="0.2">
      <c r="B260" s="9"/>
      <c r="C260" s="9"/>
      <c r="D260" s="9"/>
      <c r="E260" s="9"/>
      <c r="F260" s="406"/>
      <c r="G260" s="9"/>
      <c r="H260" s="9"/>
      <c r="I260" s="64"/>
      <c r="J260" s="64"/>
      <c r="K260" s="64"/>
      <c r="L260" s="64"/>
      <c r="M260" s="64"/>
      <c r="N260" s="64"/>
      <c r="O260" s="64"/>
      <c r="P260" s="64"/>
      <c r="Q260" s="64"/>
      <c r="R260" s="64"/>
      <c r="S260" s="64"/>
      <c r="T260" s="64"/>
      <c r="U260" s="64"/>
      <c r="V260" s="64"/>
      <c r="W260" s="64"/>
      <c r="X260" s="64"/>
      <c r="Y260" s="9"/>
      <c r="Z260" s="9"/>
      <c r="AA260" s="9"/>
      <c r="AB260" s="9"/>
      <c r="AC260" s="9"/>
      <c r="AD260" s="9"/>
    </row>
    <row r="261" spans="2:30" x14ac:dyDescent="0.2">
      <c r="B261" s="9"/>
      <c r="C261" s="52"/>
      <c r="D261" s="9"/>
      <c r="E261" s="137"/>
      <c r="F261" s="406"/>
      <c r="G261" s="9"/>
      <c r="H261" s="9"/>
      <c r="I261" s="9"/>
      <c r="J261" s="9"/>
      <c r="K261" s="9"/>
      <c r="L261" s="64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</row>
    <row r="262" spans="2:30" x14ac:dyDescent="0.2">
      <c r="B262" s="175" t="s">
        <v>961</v>
      </c>
      <c r="C262" s="316" t="s">
        <v>298</v>
      </c>
      <c r="D262" s="316" t="s">
        <v>943</v>
      </c>
      <c r="E262" s="316" t="s">
        <v>944</v>
      </c>
      <c r="F262" s="406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</row>
    <row r="263" spans="2:30" x14ac:dyDescent="0.2">
      <c r="B263" s="444" t="s">
        <v>957</v>
      </c>
      <c r="C263" s="318" t="s">
        <v>990</v>
      </c>
      <c r="D263" s="318" t="s">
        <v>990</v>
      </c>
      <c r="E263" s="318" t="s">
        <v>990</v>
      </c>
      <c r="F263" s="406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</row>
    <row r="264" spans="2:30" x14ac:dyDescent="0.2">
      <c r="B264" s="11">
        <v>1</v>
      </c>
      <c r="C264" s="17">
        <v>0.22</v>
      </c>
      <c r="D264" s="17">
        <v>0.26</v>
      </c>
      <c r="E264" s="17">
        <v>0.46</v>
      </c>
      <c r="F264" s="406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</row>
    <row r="265" spans="2:30" x14ac:dyDescent="0.2">
      <c r="B265" s="11">
        <v>2</v>
      </c>
      <c r="C265" s="407">
        <v>0.18</v>
      </c>
      <c r="D265" s="407">
        <v>0.22</v>
      </c>
      <c r="E265" s="407">
        <v>0.48</v>
      </c>
      <c r="F265" s="406"/>
      <c r="G265" s="9"/>
      <c r="H265" s="21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</row>
    <row r="266" spans="2:30" x14ac:dyDescent="0.2">
      <c r="B266" s="11">
        <v>3</v>
      </c>
      <c r="C266" s="17">
        <v>0.16</v>
      </c>
      <c r="D266" s="17">
        <v>0.21</v>
      </c>
      <c r="E266" s="17">
        <v>0.49</v>
      </c>
      <c r="F266" s="406"/>
      <c r="G266" s="9"/>
      <c r="H266" s="64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</row>
    <row r="267" spans="2:30" x14ac:dyDescent="0.2">
      <c r="B267" s="11">
        <v>4</v>
      </c>
      <c r="C267" s="407">
        <v>0.19</v>
      </c>
      <c r="D267" s="407">
        <v>0.17</v>
      </c>
      <c r="E267" s="407">
        <v>0.52</v>
      </c>
      <c r="F267" s="21"/>
      <c r="G267" s="9"/>
      <c r="H267" s="64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</row>
    <row r="268" spans="2:30" x14ac:dyDescent="0.2">
      <c r="B268" s="11">
        <v>5</v>
      </c>
      <c r="C268" s="17">
        <v>0.26</v>
      </c>
      <c r="D268" s="17">
        <v>0.37</v>
      </c>
      <c r="E268" s="17">
        <v>0.39</v>
      </c>
      <c r="F268" s="64"/>
      <c r="G268" s="9"/>
      <c r="H268" s="64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</row>
    <row r="269" spans="2:30" x14ac:dyDescent="0.2">
      <c r="B269" s="11">
        <v>6</v>
      </c>
      <c r="C269" s="407">
        <v>0.12</v>
      </c>
      <c r="D269" s="407">
        <v>0.22</v>
      </c>
      <c r="E269" s="407">
        <v>0.53</v>
      </c>
      <c r="F269" s="21"/>
      <c r="G269" s="9"/>
      <c r="H269" s="64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</row>
    <row r="270" spans="2:30" x14ac:dyDescent="0.2">
      <c r="B270" s="11">
        <v>7</v>
      </c>
      <c r="C270" s="17">
        <v>0.16</v>
      </c>
      <c r="D270" s="17">
        <v>0.32</v>
      </c>
      <c r="E270" s="17">
        <v>0.52</v>
      </c>
      <c r="F270" s="21"/>
      <c r="G270" s="9"/>
      <c r="H270" s="64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</row>
    <row r="271" spans="2:30" x14ac:dyDescent="0.2">
      <c r="B271" s="11">
        <v>8</v>
      </c>
      <c r="C271" s="407">
        <v>0.19</v>
      </c>
      <c r="D271" s="407">
        <v>0.16</v>
      </c>
      <c r="E271" s="407">
        <v>0.67</v>
      </c>
      <c r="F271" s="325"/>
      <c r="G271" s="9"/>
      <c r="H271" s="64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</row>
    <row r="272" spans="2:30" x14ac:dyDescent="0.2">
      <c r="B272" s="11">
        <v>9</v>
      </c>
      <c r="C272" s="17">
        <v>0.22</v>
      </c>
      <c r="D272" s="17">
        <v>0.27</v>
      </c>
      <c r="E272" s="17">
        <v>0.62</v>
      </c>
      <c r="F272" s="321"/>
      <c r="G272" s="9"/>
      <c r="H272" s="64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</row>
    <row r="273" spans="2:30" x14ac:dyDescent="0.2">
      <c r="B273" s="11">
        <v>10</v>
      </c>
      <c r="C273" s="407">
        <v>0.22</v>
      </c>
      <c r="D273" s="407">
        <v>0.24</v>
      </c>
      <c r="E273" s="407">
        <v>0.47</v>
      </c>
      <c r="F273" s="321"/>
      <c r="G273" s="9"/>
      <c r="H273" s="64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</row>
    <row r="274" spans="2:30" x14ac:dyDescent="0.2">
      <c r="B274" s="11">
        <v>11</v>
      </c>
      <c r="C274" s="17">
        <v>0.17</v>
      </c>
      <c r="D274" s="17">
        <v>0.28999999999999998</v>
      </c>
      <c r="E274" s="17">
        <v>0.48</v>
      </c>
      <c r="F274" s="321"/>
      <c r="G274" s="9"/>
      <c r="H274" s="64"/>
      <c r="I274" s="9"/>
      <c r="J274" s="9"/>
      <c r="K274" s="9"/>
      <c r="L274" s="9"/>
      <c r="M274" s="9"/>
      <c r="N274" s="9"/>
      <c r="O274" s="52"/>
      <c r="P274" s="9"/>
      <c r="Q274" s="9"/>
      <c r="R274" s="9"/>
      <c r="S274" s="42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</row>
    <row r="275" spans="2:30" x14ac:dyDescent="0.2">
      <c r="B275" s="11">
        <v>12</v>
      </c>
      <c r="C275" s="407">
        <v>0.13</v>
      </c>
      <c r="D275" s="407">
        <v>0.23</v>
      </c>
      <c r="E275" s="407">
        <v>0.42</v>
      </c>
      <c r="F275" s="321"/>
      <c r="G275" s="9"/>
      <c r="H275" s="64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</row>
    <row r="276" spans="2:30" x14ac:dyDescent="0.2">
      <c r="B276" s="11">
        <v>13</v>
      </c>
      <c r="C276" s="17"/>
      <c r="D276" s="17">
        <v>0.34</v>
      </c>
      <c r="E276" s="17">
        <v>0.38</v>
      </c>
      <c r="F276" s="321"/>
      <c r="G276" s="9"/>
      <c r="H276" s="64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</row>
    <row r="277" spans="2:30" x14ac:dyDescent="0.2">
      <c r="B277" s="11">
        <v>14</v>
      </c>
      <c r="C277" s="407"/>
      <c r="D277" s="407">
        <v>0.42</v>
      </c>
      <c r="E277" s="407">
        <v>0.37</v>
      </c>
      <c r="F277" s="321"/>
      <c r="G277" s="9"/>
      <c r="H277" s="64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</row>
    <row r="278" spans="2:30" x14ac:dyDescent="0.2">
      <c r="B278" s="11">
        <v>15</v>
      </c>
      <c r="C278" s="17"/>
      <c r="D278" s="17">
        <v>0.21</v>
      </c>
      <c r="E278" s="17">
        <v>0.28999999999999998</v>
      </c>
      <c r="F278" s="321"/>
      <c r="G278" s="9"/>
      <c r="H278" s="64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</row>
    <row r="279" spans="2:30" x14ac:dyDescent="0.2">
      <c r="B279" s="69" t="s">
        <v>51</v>
      </c>
      <c r="C279" s="13">
        <f>AVERAGE(C264:C278)</f>
        <v>0.18499999999999997</v>
      </c>
      <c r="D279" s="17">
        <f t="shared" ref="D279:E279" si="21">AVERAGE(D264:D278)</f>
        <v>0.26200000000000001</v>
      </c>
      <c r="E279" s="17">
        <f t="shared" si="21"/>
        <v>0.47266666666666673</v>
      </c>
      <c r="F279" s="321"/>
      <c r="G279" s="9"/>
      <c r="H279" s="64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</row>
    <row r="280" spans="2:30" x14ac:dyDescent="0.2">
      <c r="B280" s="9"/>
      <c r="C280" s="9"/>
      <c r="D280" s="9"/>
      <c r="E280" s="9"/>
      <c r="F280" s="321"/>
      <c r="G280" s="9"/>
      <c r="H280" s="64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</row>
    <row r="281" spans="2:30" x14ac:dyDescent="0.2">
      <c r="B281" s="9"/>
      <c r="C281" s="9"/>
      <c r="D281" s="9"/>
      <c r="E281" s="9"/>
      <c r="F281" s="321"/>
      <c r="G281" s="9"/>
      <c r="H281" s="64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</row>
    <row r="282" spans="2:30" x14ac:dyDescent="0.2">
      <c r="B282" s="206" t="s">
        <v>993</v>
      </c>
      <c r="C282" s="206"/>
      <c r="D282" s="206"/>
      <c r="E282" s="206"/>
      <c r="F282" s="406"/>
      <c r="G282" s="64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</row>
    <row r="283" spans="2:30" x14ac:dyDescent="0.2">
      <c r="B283" s="64"/>
      <c r="C283" s="406"/>
      <c r="D283" s="406"/>
      <c r="E283" s="406"/>
      <c r="F283" s="406"/>
      <c r="G283" s="64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</row>
    <row r="284" spans="2:30" x14ac:dyDescent="0.2">
      <c r="B284" s="9"/>
      <c r="C284" s="514" t="s">
        <v>1</v>
      </c>
      <c r="D284" s="515"/>
      <c r="E284" s="516"/>
      <c r="F284" s="142"/>
      <c r="G284" s="9"/>
      <c r="H284" s="9"/>
      <c r="I284" s="514" t="s">
        <v>296</v>
      </c>
      <c r="J284" s="515"/>
      <c r="K284" s="516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</row>
    <row r="285" spans="2:30" x14ac:dyDescent="0.2">
      <c r="B285" s="52" t="s">
        <v>662</v>
      </c>
      <c r="C285" s="152" t="s">
        <v>298</v>
      </c>
      <c r="D285" s="152" t="s">
        <v>299</v>
      </c>
      <c r="E285" s="152" t="s">
        <v>944</v>
      </c>
      <c r="F285" s="277"/>
      <c r="G285" s="9"/>
      <c r="H285" s="412" t="s">
        <v>662</v>
      </c>
      <c r="I285" s="152" t="s">
        <v>298</v>
      </c>
      <c r="J285" s="152" t="s">
        <v>299</v>
      </c>
      <c r="K285" s="152" t="s">
        <v>944</v>
      </c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</row>
    <row r="286" spans="2:30" x14ac:dyDescent="0.2">
      <c r="B286" s="17" t="s">
        <v>51</v>
      </c>
      <c r="C286" s="315">
        <f>AVERAGE(C279,C258,C240,C204,C183,C171)</f>
        <v>0.3131236263736264</v>
      </c>
      <c r="D286" s="315">
        <f>AVERAGE(D279,D258,D240,D204,D183,D171)</f>
        <v>0.52972666329559659</v>
      </c>
      <c r="E286" s="315">
        <f>AVERAGE(E279,E258,E240,E204,E183,E171)</f>
        <v>0.62447666222666232</v>
      </c>
      <c r="F286" s="411"/>
      <c r="G286" s="9"/>
      <c r="H286" s="17" t="s">
        <v>51</v>
      </c>
      <c r="I286" s="315">
        <f>AVERAGE(I165,O165,U165,U186,O184,I183,I199,O201,U201)</f>
        <v>0.38544433340968176</v>
      </c>
      <c r="J286" s="315">
        <f>AVERAGE(J165,P165,V165,V186,P184,J183,J199,P201,V201)</f>
        <v>0.21457822555186434</v>
      </c>
      <c r="K286" s="315">
        <f>AVERAGE(K165,Q165,W165,W186,Q184,K183,K199,Q201,W201)</f>
        <v>7.4523809523809534E-2</v>
      </c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</row>
    <row r="287" spans="2:30" x14ac:dyDescent="0.2">
      <c r="B287" s="17" t="s">
        <v>13</v>
      </c>
      <c r="C287" s="105">
        <f>STDEV(C279,C258,C240,C204,C183,C171)</f>
        <v>9.1867625894275065E-2</v>
      </c>
      <c r="D287" s="105">
        <f>STDEV(D279,D258,D240,D204,D183,D171)</f>
        <v>0.15771256195251168</v>
      </c>
      <c r="E287" s="105">
        <f>STDEV(E279,E258,E240,E204,E183,E171)</f>
        <v>0.16835193464074169</v>
      </c>
      <c r="F287" s="106"/>
      <c r="G287" s="9"/>
      <c r="H287" s="17" t="s">
        <v>13</v>
      </c>
      <c r="I287" s="13">
        <f>STDEV(I165,O165,U165,U186,O184,I183,I199,O201,U201)</f>
        <v>0.13859001657091738</v>
      </c>
      <c r="J287" s="13">
        <f>STDEV(J165,P165,V165,V186,P184,J183,J199,P201,V201)</f>
        <v>0.19800162342917441</v>
      </c>
      <c r="K287" s="13">
        <f>STDEV(K165,Q165,W165,W186,Q184,K183,K199,Q201,W201)</f>
        <v>0.11307531384877437</v>
      </c>
      <c r="L287" s="9"/>
      <c r="M287" s="9"/>
      <c r="N287" s="9"/>
      <c r="O287" s="9"/>
      <c r="P287" s="9"/>
      <c r="Q287" s="9"/>
      <c r="R287" s="9"/>
      <c r="S287" s="9"/>
      <c r="T287" s="9"/>
      <c r="U287" s="289"/>
      <c r="V287" s="9"/>
      <c r="W287" s="9"/>
      <c r="X287" s="9"/>
      <c r="Y287" s="9"/>
      <c r="Z287" s="9"/>
      <c r="AA287" s="9"/>
      <c r="AB287" s="9"/>
      <c r="AC287" s="9"/>
      <c r="AD287" s="9"/>
    </row>
    <row r="288" spans="2:30" x14ac:dyDescent="0.2">
      <c r="B288" s="17" t="s">
        <v>975</v>
      </c>
      <c r="C288" s="17">
        <f>COUNT(C264:C278,C246:C257,C210:C239,C192:C203,C176:C182,C158:C172)</f>
        <v>87</v>
      </c>
      <c r="D288" s="17">
        <f>COUNT(D264:D278,D246:D257,D210:D239,D192:D202,D176:D182,D158:D172)</f>
        <v>89</v>
      </c>
      <c r="E288" s="17">
        <f>COUNT(E264:E278,E246:E257,E210:E239,E192:E202,E176:E182,E158:E172)</f>
        <v>81</v>
      </c>
      <c r="F288" s="64"/>
      <c r="G288" s="9"/>
      <c r="H288" s="17" t="s">
        <v>941</v>
      </c>
      <c r="I288" s="17">
        <f>COUNT(I176:I182,I192:I198,I158:I164,O158:O164,U158:U164,U176:U185,O176:O183,O192:O200,U192:U200)</f>
        <v>71</v>
      </c>
      <c r="J288" s="17">
        <f>COUNT(J176:J182,J192:J198,J158:J164,P158:P164,V158:V164,V176:V185,P176:P183,P192:P200,V192:V200)</f>
        <v>54</v>
      </c>
      <c r="K288" s="17">
        <f>COUNT(K176:K182,K192:K198,K158:K164,Q158:Q164,W158:W164,W176:W185,Q176:Q183,Q192:Q200,W192:W200)</f>
        <v>35</v>
      </c>
      <c r="L288" s="9"/>
      <c r="M288" s="9"/>
      <c r="N288" s="9"/>
      <c r="O288" s="9"/>
      <c r="P288" s="9"/>
      <c r="Q288" s="9"/>
      <c r="R288" s="9"/>
      <c r="S288" s="9"/>
      <c r="T288" s="9"/>
      <c r="U288" s="64"/>
      <c r="V288" s="9"/>
      <c r="W288" s="9"/>
      <c r="X288" s="9"/>
      <c r="Y288" s="9"/>
      <c r="Z288" s="9"/>
      <c r="AA288" s="9"/>
      <c r="AB288" s="9"/>
      <c r="AC288" s="9"/>
      <c r="AD288" s="9"/>
    </row>
    <row r="289" spans="2:30" x14ac:dyDescent="0.2">
      <c r="B289" s="17" t="s">
        <v>694</v>
      </c>
      <c r="C289" s="55">
        <v>6</v>
      </c>
      <c r="D289" s="55">
        <v>6</v>
      </c>
      <c r="E289" s="55">
        <v>6</v>
      </c>
      <c r="F289" s="64"/>
      <c r="G289" s="9"/>
      <c r="H289" s="17" t="s">
        <v>694</v>
      </c>
      <c r="I289" s="17">
        <v>9</v>
      </c>
      <c r="J289" s="17">
        <v>9</v>
      </c>
      <c r="K289" s="17">
        <v>9</v>
      </c>
      <c r="L289" s="42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</row>
    <row r="290" spans="2:30" x14ac:dyDescent="0.2">
      <c r="B290" s="17" t="s">
        <v>14</v>
      </c>
      <c r="C290" s="105">
        <f>C287/SQRT(6)</f>
        <v>3.7504801220311516E-2</v>
      </c>
      <c r="D290" s="105">
        <f t="shared" ref="D290:E290" si="22">D287/SQRT(6)</f>
        <v>6.4385883801788987E-2</v>
      </c>
      <c r="E290" s="105">
        <f t="shared" si="22"/>
        <v>6.8729389513366795E-2</v>
      </c>
      <c r="F290" s="245"/>
      <c r="G290" s="9"/>
      <c r="H290" s="17" t="s">
        <v>14</v>
      </c>
      <c r="I290" s="105">
        <f>I287/SQRT(9)</f>
        <v>4.6196672190305793E-2</v>
      </c>
      <c r="J290" s="105">
        <f>J287/SQRT(9)</f>
        <v>6.6000541143058131E-2</v>
      </c>
      <c r="K290" s="105">
        <f>K287/SQRT(9)</f>
        <v>3.7691771282924787E-2</v>
      </c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</row>
    <row r="291" spans="2:30" x14ac:dyDescent="0.2">
      <c r="B291" s="9"/>
      <c r="C291" s="9"/>
      <c r="D291" s="9"/>
      <c r="E291" s="9"/>
      <c r="F291" s="64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</row>
    <row r="292" spans="2:30" x14ac:dyDescent="0.2">
      <c r="B292" s="9"/>
      <c r="C292" s="9"/>
      <c r="D292" s="9"/>
      <c r="E292" s="9"/>
      <c r="F292" s="64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289"/>
      <c r="U292" s="64"/>
      <c r="V292" s="64"/>
      <c r="W292" s="64"/>
      <c r="X292" s="9"/>
      <c r="Y292" s="9"/>
      <c r="Z292" s="9"/>
      <c r="AA292" s="9"/>
      <c r="AB292" s="9"/>
      <c r="AC292" s="9"/>
      <c r="AD292" s="9"/>
    </row>
    <row r="293" spans="2:30" x14ac:dyDescent="0.2">
      <c r="B293" s="8" t="s">
        <v>52</v>
      </c>
      <c r="C293" s="8"/>
      <c r="D293" s="8"/>
      <c r="E293" s="9"/>
      <c r="F293" s="64"/>
      <c r="G293" s="9"/>
      <c r="H293" s="9"/>
      <c r="I293" s="9"/>
      <c r="J293" s="9"/>
      <c r="K293" s="9"/>
      <c r="L293" s="9"/>
      <c r="M293" s="9"/>
      <c r="N293" s="9"/>
      <c r="O293" s="64"/>
      <c r="P293" s="64"/>
      <c r="Q293" s="64"/>
      <c r="R293" s="64"/>
      <c r="S293" s="64"/>
      <c r="T293" s="64"/>
      <c r="U293" s="64"/>
      <c r="V293" s="64"/>
      <c r="W293" s="64"/>
      <c r="X293" s="9"/>
      <c r="Y293" s="9"/>
      <c r="Z293" s="9"/>
      <c r="AA293" s="9"/>
      <c r="AB293" s="9"/>
      <c r="AC293" s="9"/>
      <c r="AD293" s="9"/>
    </row>
    <row r="294" spans="2:30" x14ac:dyDescent="0.2">
      <c r="B294" s="9"/>
      <c r="C294" s="9"/>
      <c r="D294" s="9"/>
      <c r="E294" s="9"/>
      <c r="F294" s="64"/>
      <c r="G294" s="9"/>
      <c r="H294" s="9"/>
      <c r="I294" s="9"/>
      <c r="J294" s="9"/>
      <c r="K294" s="9"/>
      <c r="L294" s="9"/>
      <c r="M294" s="9"/>
      <c r="N294" s="9"/>
      <c r="O294" s="64"/>
      <c r="P294" s="64"/>
      <c r="Q294" s="64"/>
      <c r="R294" s="277"/>
      <c r="S294" s="277"/>
      <c r="T294" s="277"/>
      <c r="U294" s="277"/>
      <c r="V294" s="64"/>
      <c r="W294" s="64"/>
      <c r="X294" s="9"/>
      <c r="Y294" s="9"/>
      <c r="Z294" s="9"/>
      <c r="AA294" s="9"/>
      <c r="AB294" s="9"/>
      <c r="AC294" s="9"/>
      <c r="AD294" s="9"/>
    </row>
    <row r="295" spans="2:30" x14ac:dyDescent="0.2">
      <c r="B295" s="52" t="s">
        <v>56</v>
      </c>
      <c r="C295" s="9"/>
      <c r="D295" s="9"/>
      <c r="E295" s="9"/>
      <c r="F295" s="64"/>
      <c r="G295" s="9"/>
      <c r="H295" s="9"/>
      <c r="I295" s="9"/>
      <c r="J295" s="9"/>
      <c r="K295" s="9"/>
      <c r="L295" s="9"/>
      <c r="M295" s="9"/>
      <c r="N295" s="9"/>
      <c r="O295" s="150"/>
      <c r="P295" s="64"/>
      <c r="Q295" s="64"/>
      <c r="R295" s="64"/>
      <c r="S295" s="64"/>
      <c r="T295" s="64"/>
      <c r="U295" s="64"/>
      <c r="V295" s="64"/>
      <c r="W295" s="64"/>
      <c r="X295" s="9"/>
      <c r="Y295" s="9"/>
      <c r="Z295" s="9"/>
      <c r="AA295" s="9"/>
      <c r="AB295" s="9"/>
      <c r="AC295" s="9"/>
      <c r="AD295" s="9"/>
    </row>
    <row r="296" spans="2:30" x14ac:dyDescent="0.2">
      <c r="B296" s="9"/>
      <c r="C296" s="9"/>
      <c r="D296" s="9"/>
      <c r="E296" s="9"/>
      <c r="F296" s="64"/>
      <c r="G296" s="9"/>
      <c r="H296" s="9"/>
      <c r="I296" s="9"/>
      <c r="J296" s="9"/>
      <c r="K296" s="9"/>
      <c r="L296" s="9"/>
      <c r="M296" s="64"/>
      <c r="N296" s="9"/>
      <c r="O296" s="150"/>
      <c r="P296" s="64"/>
      <c r="Q296" s="64"/>
      <c r="R296" s="335"/>
      <c r="S296" s="65"/>
      <c r="T296" s="331"/>
      <c r="U296" s="331"/>
      <c r="V296" s="64"/>
      <c r="W296" s="64"/>
      <c r="X296" s="9"/>
      <c r="Y296" s="9"/>
      <c r="Z296" s="9"/>
      <c r="AA296" s="9"/>
      <c r="AB296" s="9"/>
      <c r="AC296" s="9"/>
      <c r="AD296" s="9"/>
    </row>
    <row r="297" spans="2:30" x14ac:dyDescent="0.2">
      <c r="B297" s="2" t="s">
        <v>69</v>
      </c>
      <c r="C297" s="1" t="s">
        <v>70</v>
      </c>
      <c r="D297" s="1" t="s">
        <v>36</v>
      </c>
      <c r="E297" s="1" t="s">
        <v>37</v>
      </c>
      <c r="F297" s="1" t="s">
        <v>47</v>
      </c>
      <c r="G297" s="1"/>
      <c r="H297" s="9"/>
      <c r="I297" s="9"/>
      <c r="J297" s="9"/>
      <c r="K297" s="9"/>
      <c r="L297" s="9"/>
      <c r="M297" s="64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</row>
    <row r="298" spans="2:30" x14ac:dyDescent="0.2">
      <c r="B298" s="2" t="s">
        <v>667</v>
      </c>
      <c r="C298" s="1">
        <v>30.75</v>
      </c>
      <c r="D298" s="46" t="s">
        <v>176</v>
      </c>
      <c r="E298" s="1" t="s">
        <v>10</v>
      </c>
      <c r="F298" s="1" t="s">
        <v>41</v>
      </c>
      <c r="G298" s="1"/>
      <c r="H298" s="9"/>
      <c r="I298" s="9"/>
      <c r="J298" s="9"/>
      <c r="K298" s="9"/>
      <c r="L298" s="64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</row>
    <row r="299" spans="2:30" x14ac:dyDescent="0.2">
      <c r="B299" s="2" t="s">
        <v>668</v>
      </c>
      <c r="C299" s="1">
        <v>0.2235</v>
      </c>
      <c r="D299" s="46">
        <v>0.89849999999999997</v>
      </c>
      <c r="E299" s="1" t="s">
        <v>9</v>
      </c>
      <c r="F299" s="1" t="s">
        <v>49</v>
      </c>
      <c r="G299" s="1"/>
      <c r="H299" s="64"/>
      <c r="I299" s="9"/>
      <c r="J299" s="9"/>
      <c r="K299" s="64"/>
      <c r="L299" s="64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</row>
    <row r="300" spans="2:30" x14ac:dyDescent="0.2">
      <c r="B300" s="2" t="s">
        <v>42</v>
      </c>
      <c r="C300" s="1">
        <v>32.85</v>
      </c>
      <c r="D300" s="46" t="s">
        <v>176</v>
      </c>
      <c r="E300" s="1" t="s">
        <v>10</v>
      </c>
      <c r="F300" s="1" t="s">
        <v>41</v>
      </c>
      <c r="G300" s="1"/>
      <c r="H300" s="9"/>
      <c r="I300" s="9"/>
      <c r="J300" s="9"/>
      <c r="K300" s="9"/>
      <c r="L300" s="64"/>
      <c r="M300" s="9"/>
      <c r="N300" s="9"/>
      <c r="O300" s="9"/>
      <c r="P300" s="9"/>
      <c r="Q300" s="9"/>
      <c r="R300" s="64"/>
      <c r="S300" s="9"/>
      <c r="T300" s="9"/>
      <c r="U300" s="9"/>
      <c r="V300" s="9"/>
      <c r="W300" s="9"/>
      <c r="X300" s="64"/>
      <c r="Y300" s="9"/>
      <c r="Z300" s="9"/>
      <c r="AA300" s="9"/>
      <c r="AB300" s="9"/>
      <c r="AC300" s="9"/>
      <c r="AD300" s="9"/>
    </row>
    <row r="301" spans="2:30" x14ac:dyDescent="0.2">
      <c r="B301" s="2"/>
      <c r="C301" s="1"/>
      <c r="D301" s="1"/>
      <c r="E301" s="1"/>
      <c r="F301" s="1"/>
      <c r="G301" s="1"/>
      <c r="H301" s="9"/>
      <c r="I301" s="9"/>
      <c r="J301" s="9"/>
      <c r="K301" s="9"/>
      <c r="L301" s="64"/>
      <c r="M301" s="9"/>
      <c r="N301" s="9"/>
      <c r="O301" s="9"/>
      <c r="P301" s="9"/>
      <c r="Q301" s="9"/>
      <c r="R301" s="64"/>
      <c r="S301" s="9"/>
      <c r="T301" s="9"/>
      <c r="U301" s="9"/>
      <c r="V301" s="9"/>
      <c r="W301" s="9"/>
      <c r="X301" s="64"/>
      <c r="Y301" s="9"/>
      <c r="Z301" s="9"/>
      <c r="AA301" s="9"/>
      <c r="AB301" s="9"/>
      <c r="AC301" s="9"/>
      <c r="AD301" s="9"/>
    </row>
    <row r="302" spans="2:30" x14ac:dyDescent="0.2">
      <c r="B302" s="2" t="s">
        <v>669</v>
      </c>
      <c r="C302" s="1" t="s">
        <v>670</v>
      </c>
      <c r="D302" s="1" t="s">
        <v>671</v>
      </c>
      <c r="E302" s="1" t="s">
        <v>672</v>
      </c>
      <c r="F302" s="1" t="s">
        <v>577</v>
      </c>
      <c r="G302" s="1" t="s">
        <v>36</v>
      </c>
      <c r="H302" s="9"/>
      <c r="I302" s="9"/>
      <c r="J302" s="9"/>
      <c r="K302" s="9"/>
      <c r="L302" s="64"/>
      <c r="M302" s="9"/>
      <c r="N302" s="9"/>
      <c r="O302" s="9"/>
      <c r="P302" s="9"/>
      <c r="Q302" s="9"/>
      <c r="R302" s="64"/>
      <c r="S302" s="9"/>
      <c r="T302" s="9"/>
      <c r="U302" s="9"/>
      <c r="V302" s="9"/>
      <c r="W302" s="9"/>
      <c r="X302" s="64"/>
      <c r="Y302" s="9"/>
      <c r="Z302" s="9"/>
      <c r="AA302" s="9"/>
      <c r="AB302" s="9"/>
      <c r="AC302" s="9"/>
      <c r="AD302" s="9"/>
    </row>
    <row r="303" spans="2:30" x14ac:dyDescent="0.2">
      <c r="B303" s="2" t="s">
        <v>667</v>
      </c>
      <c r="C303" s="1">
        <v>0.67969999999999997</v>
      </c>
      <c r="D303" s="1">
        <v>2</v>
      </c>
      <c r="E303" s="1">
        <v>0.33979999999999999</v>
      </c>
      <c r="F303" s="1" t="s">
        <v>1004</v>
      </c>
      <c r="G303" s="1" t="s">
        <v>673</v>
      </c>
      <c r="H303" s="9"/>
      <c r="I303" s="9"/>
      <c r="J303" s="9"/>
      <c r="K303" s="9"/>
      <c r="L303" s="64"/>
      <c r="M303" s="9"/>
      <c r="N303" s="9"/>
      <c r="O303" s="9"/>
      <c r="P303" s="9"/>
      <c r="Q303" s="9"/>
      <c r="R303" s="64"/>
      <c r="S303" s="9"/>
      <c r="T303" s="9"/>
      <c r="U303" s="9"/>
      <c r="V303" s="9"/>
      <c r="W303" s="9"/>
      <c r="X303" s="64"/>
      <c r="Y303" s="9"/>
      <c r="Z303" s="9"/>
      <c r="AA303" s="9"/>
      <c r="AB303" s="9"/>
      <c r="AC303" s="9"/>
      <c r="AD303" s="9"/>
    </row>
    <row r="304" spans="2:30" x14ac:dyDescent="0.2">
      <c r="B304" s="2" t="s">
        <v>668</v>
      </c>
      <c r="C304" s="1">
        <v>4.9410000000000001E-3</v>
      </c>
      <c r="D304" s="1">
        <v>2</v>
      </c>
      <c r="E304" s="1">
        <v>2.4710000000000001E-3</v>
      </c>
      <c r="F304" s="1" t="s">
        <v>1005</v>
      </c>
      <c r="G304" s="1" t="s">
        <v>1006</v>
      </c>
      <c r="H304" s="9"/>
      <c r="I304" s="9"/>
      <c r="J304" s="9"/>
      <c r="K304" s="9"/>
      <c r="L304" s="64"/>
      <c r="M304" s="9"/>
      <c r="N304" s="9"/>
      <c r="O304" s="9"/>
      <c r="P304" s="9"/>
      <c r="Q304" s="9"/>
      <c r="R304" s="64"/>
      <c r="S304" s="9"/>
      <c r="T304" s="9"/>
      <c r="U304" s="9"/>
      <c r="V304" s="9"/>
      <c r="W304" s="9"/>
      <c r="X304" s="64"/>
      <c r="Y304" s="9"/>
      <c r="Z304" s="9"/>
      <c r="AA304" s="9"/>
      <c r="AB304" s="9"/>
      <c r="AC304" s="9"/>
      <c r="AD304" s="9"/>
    </row>
    <row r="305" spans="2:30" x14ac:dyDescent="0.2">
      <c r="B305" s="2" t="s">
        <v>42</v>
      </c>
      <c r="C305" s="1">
        <v>0.72609999999999997</v>
      </c>
      <c r="D305" s="1">
        <v>1</v>
      </c>
      <c r="E305" s="1">
        <v>0.72609999999999997</v>
      </c>
      <c r="F305" s="1" t="s">
        <v>1007</v>
      </c>
      <c r="G305" s="1" t="s">
        <v>673</v>
      </c>
      <c r="H305" s="9"/>
      <c r="I305" s="9"/>
      <c r="J305" s="9"/>
      <c r="K305" s="9"/>
      <c r="L305" s="64"/>
      <c r="M305" s="9"/>
      <c r="N305" s="9"/>
      <c r="O305" s="9"/>
      <c r="P305" s="9"/>
      <c r="Q305" s="9"/>
      <c r="R305" s="64"/>
      <c r="S305" s="9"/>
      <c r="T305" s="9"/>
      <c r="U305" s="9"/>
      <c r="V305" s="9"/>
      <c r="W305" s="9"/>
      <c r="X305" s="64"/>
      <c r="Y305" s="9"/>
      <c r="Z305" s="9"/>
      <c r="AA305" s="9"/>
      <c r="AB305" s="9"/>
      <c r="AC305" s="9"/>
      <c r="AD305" s="9"/>
    </row>
    <row r="306" spans="2:30" x14ac:dyDescent="0.2">
      <c r="B306" s="2" t="s">
        <v>674</v>
      </c>
      <c r="C306" s="1">
        <v>0.8518</v>
      </c>
      <c r="D306" s="1">
        <v>37</v>
      </c>
      <c r="E306" s="1">
        <v>2.3019999999999999E-2</v>
      </c>
      <c r="F306" s="1"/>
      <c r="G306" s="1"/>
      <c r="H306" s="9"/>
      <c r="I306" s="9"/>
      <c r="J306" s="9"/>
      <c r="K306" s="9"/>
      <c r="L306" s="64"/>
      <c r="M306" s="9"/>
      <c r="N306" s="9"/>
      <c r="O306" s="9"/>
      <c r="P306" s="9"/>
      <c r="Q306" s="9"/>
      <c r="R306" s="64"/>
      <c r="S306" s="9"/>
      <c r="T306" s="9"/>
      <c r="U306" s="9"/>
      <c r="V306" s="9"/>
      <c r="W306" s="9"/>
      <c r="X306" s="64"/>
      <c r="Y306" s="9"/>
      <c r="Z306" s="9"/>
      <c r="AA306" s="9"/>
      <c r="AB306" s="9"/>
      <c r="AC306" s="9"/>
      <c r="AD306" s="9"/>
    </row>
    <row r="307" spans="2:30" x14ac:dyDescent="0.2">
      <c r="B307" s="9"/>
      <c r="C307" s="9"/>
      <c r="D307" s="9"/>
      <c r="E307" s="9"/>
      <c r="F307" s="64"/>
      <c r="G307" s="9"/>
      <c r="H307" s="9"/>
      <c r="I307" s="9"/>
      <c r="J307" s="9"/>
      <c r="K307" s="9"/>
      <c r="L307" s="64"/>
      <c r="M307" s="9"/>
      <c r="N307" s="9"/>
      <c r="O307" s="9"/>
      <c r="P307" s="9"/>
      <c r="Q307" s="9"/>
      <c r="R307" s="64"/>
      <c r="S307" s="9"/>
      <c r="T307" s="9"/>
      <c r="U307" s="9"/>
      <c r="V307" s="9"/>
      <c r="W307" s="9"/>
      <c r="X307" s="64"/>
      <c r="Y307" s="9"/>
      <c r="Z307" s="9"/>
      <c r="AA307" s="9"/>
      <c r="AB307" s="9"/>
      <c r="AC307" s="9"/>
      <c r="AD307" s="9"/>
    </row>
    <row r="308" spans="2:30" x14ac:dyDescent="0.2">
      <c r="B308" s="9"/>
      <c r="C308" s="9"/>
      <c r="D308" s="9"/>
      <c r="E308" s="9"/>
      <c r="F308" s="64"/>
      <c r="G308" s="9"/>
      <c r="H308" s="9"/>
      <c r="I308" s="9"/>
      <c r="J308" s="9"/>
      <c r="K308" s="9"/>
      <c r="L308" s="64"/>
      <c r="M308" s="9"/>
      <c r="N308" s="9"/>
      <c r="O308" s="9"/>
      <c r="P308" s="9"/>
      <c r="Q308" s="9"/>
      <c r="R308" s="64"/>
      <c r="S308" s="9"/>
      <c r="T308" s="9"/>
      <c r="U308" s="9"/>
      <c r="V308" s="9"/>
      <c r="W308" s="9"/>
      <c r="X308" s="64"/>
      <c r="Y308" s="9"/>
      <c r="Z308" s="9"/>
      <c r="AA308" s="9"/>
      <c r="AB308" s="9"/>
      <c r="AC308" s="9"/>
      <c r="AD308" s="9"/>
    </row>
    <row r="309" spans="2:30" x14ac:dyDescent="0.2">
      <c r="B309" s="3" t="s">
        <v>968</v>
      </c>
      <c r="C309" s="16" t="s">
        <v>675</v>
      </c>
      <c r="D309" s="16" t="s">
        <v>46</v>
      </c>
      <c r="E309" s="16" t="s">
        <v>47</v>
      </c>
      <c r="F309" s="16" t="s">
        <v>48</v>
      </c>
      <c r="G309" s="16" t="s">
        <v>5</v>
      </c>
      <c r="H309" s="52"/>
      <c r="I309" s="9"/>
      <c r="J309" s="9"/>
      <c r="K309" s="9"/>
      <c r="L309" s="64"/>
      <c r="M309" s="9"/>
      <c r="N309" s="9"/>
      <c r="O309" s="9"/>
      <c r="P309" s="9"/>
      <c r="Q309" s="9"/>
      <c r="R309" s="64"/>
      <c r="S309" s="9"/>
      <c r="T309" s="9"/>
      <c r="U309" s="9"/>
      <c r="V309" s="9"/>
      <c r="W309" s="9"/>
      <c r="X309" s="64"/>
      <c r="Y309" s="9"/>
      <c r="Z309" s="9"/>
      <c r="AA309" s="9"/>
      <c r="AB309" s="9"/>
      <c r="AC309" s="9"/>
      <c r="AD309" s="9"/>
    </row>
    <row r="310" spans="2:30" x14ac:dyDescent="0.2">
      <c r="B310" s="2" t="s">
        <v>974</v>
      </c>
      <c r="C310" s="1"/>
      <c r="D310" s="1"/>
      <c r="E310" s="1"/>
      <c r="F310" s="1"/>
      <c r="G310" s="1"/>
    </row>
    <row r="311" spans="2:30" x14ac:dyDescent="0.2">
      <c r="B311" s="2" t="s">
        <v>298</v>
      </c>
      <c r="C311" s="1">
        <v>-7.2319999999999995E-2</v>
      </c>
      <c r="D311" s="1" t="s">
        <v>1008</v>
      </c>
      <c r="E311" s="1" t="s">
        <v>49</v>
      </c>
      <c r="F311" s="1" t="s">
        <v>9</v>
      </c>
      <c r="G311" s="1">
        <v>0.75190000000000001</v>
      </c>
    </row>
    <row r="312" spans="2:30" x14ac:dyDescent="0.2">
      <c r="B312" s="2" t="s">
        <v>299</v>
      </c>
      <c r="C312" s="1">
        <v>0.31490000000000001</v>
      </c>
      <c r="D312" s="1" t="s">
        <v>1009</v>
      </c>
      <c r="E312" s="1" t="s">
        <v>41</v>
      </c>
      <c r="F312" s="1" t="s">
        <v>11</v>
      </c>
      <c r="G312" s="1">
        <v>1E-3</v>
      </c>
    </row>
    <row r="313" spans="2:30" x14ac:dyDescent="0.2">
      <c r="B313" s="2" t="s">
        <v>944</v>
      </c>
      <c r="C313" s="1">
        <v>0.55000000000000004</v>
      </c>
      <c r="D313" s="1" t="s">
        <v>1010</v>
      </c>
      <c r="E313" s="1" t="s">
        <v>41</v>
      </c>
      <c r="F313" s="1" t="s">
        <v>10</v>
      </c>
      <c r="G313" s="46" t="s">
        <v>176</v>
      </c>
    </row>
  </sheetData>
  <mergeCells count="4">
    <mergeCell ref="C119:E119"/>
    <mergeCell ref="I119:K119"/>
    <mergeCell ref="C284:E284"/>
    <mergeCell ref="I284:K284"/>
  </mergeCells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2:N198"/>
  <sheetViews>
    <sheetView workbookViewId="0">
      <selection activeCell="H55" sqref="H55"/>
    </sheetView>
  </sheetViews>
  <sheetFormatPr baseColWidth="10" defaultColWidth="11" defaultRowHeight="16" x14ac:dyDescent="0.2"/>
  <cols>
    <col min="1" max="2" width="11" style="27"/>
    <col min="3" max="3" width="20.6640625" style="27" customWidth="1"/>
    <col min="4" max="5" width="16.83203125" style="27" bestFit="1" customWidth="1"/>
    <col min="6" max="8" width="11" style="27"/>
    <col min="9" max="9" width="20.83203125" style="27" customWidth="1"/>
    <col min="10" max="10" width="14.83203125" style="27" customWidth="1"/>
    <col min="11" max="11" width="15.33203125" style="27" customWidth="1"/>
    <col min="12" max="13" width="16.83203125" style="27" bestFit="1" customWidth="1"/>
    <col min="14" max="16384" width="11" style="27"/>
  </cols>
  <sheetData>
    <row r="2" spans="1:14" ht="18" x14ac:dyDescent="0.2">
      <c r="A2" s="53" t="s">
        <v>991</v>
      </c>
      <c r="B2" s="53"/>
      <c r="C2" s="93"/>
    </row>
    <row r="4" spans="1:14" ht="18" x14ac:dyDescent="0.2">
      <c r="A4" s="14" t="s">
        <v>1025</v>
      </c>
      <c r="B4" s="14"/>
      <c r="C4" s="14"/>
      <c r="D4" s="14"/>
      <c r="E4" s="14"/>
      <c r="F4" s="93"/>
      <c r="G4" s="93"/>
    </row>
    <row r="5" spans="1:14" s="166" customFormat="1" ht="18" x14ac:dyDescent="0.2">
      <c r="A5" s="93"/>
      <c r="B5" s="93"/>
      <c r="C5" s="93"/>
      <c r="D5" s="93"/>
      <c r="E5" s="93"/>
      <c r="F5" s="93"/>
      <c r="G5" s="93"/>
    </row>
    <row r="6" spans="1:14" x14ac:dyDescent="0.2">
      <c r="D6" s="523" t="s">
        <v>1</v>
      </c>
      <c r="E6" s="523"/>
      <c r="J6" s="523" t="s">
        <v>296</v>
      </c>
      <c r="K6" s="523"/>
    </row>
    <row r="7" spans="1:14" s="9" customFormat="1" ht="14" x14ac:dyDescent="0.15">
      <c r="D7" s="281" t="s">
        <v>298</v>
      </c>
      <c r="E7" s="281" t="s">
        <v>944</v>
      </c>
      <c r="J7" s="281" t="s">
        <v>298</v>
      </c>
      <c r="K7" s="281" t="s">
        <v>944</v>
      </c>
    </row>
    <row r="8" spans="1:14" s="9" customFormat="1" ht="14" x14ac:dyDescent="0.15">
      <c r="B8" s="498" t="s">
        <v>1057</v>
      </c>
      <c r="C8" s="496" t="s">
        <v>957</v>
      </c>
      <c r="D8" s="414" t="s">
        <v>1011</v>
      </c>
      <c r="E8" s="414" t="s">
        <v>1011</v>
      </c>
      <c r="H8" s="498" t="s">
        <v>1057</v>
      </c>
      <c r="I8" s="436" t="s">
        <v>957</v>
      </c>
      <c r="J8" s="414" t="s">
        <v>1011</v>
      </c>
      <c r="K8" s="415" t="s">
        <v>1011</v>
      </c>
    </row>
    <row r="9" spans="1:14" s="9" customFormat="1" ht="14" x14ac:dyDescent="0.15">
      <c r="B9" s="497" t="s">
        <v>1055</v>
      </c>
      <c r="C9" s="11">
        <v>1</v>
      </c>
      <c r="D9" s="13">
        <v>1.51</v>
      </c>
      <c r="E9" s="13">
        <v>1.06</v>
      </c>
      <c r="H9" s="11" t="s">
        <v>194</v>
      </c>
      <c r="I9" s="11">
        <v>1</v>
      </c>
      <c r="J9" s="409">
        <v>2.2000000000000002</v>
      </c>
      <c r="K9" s="13">
        <v>1.88</v>
      </c>
      <c r="M9" s="84"/>
      <c r="N9" s="68"/>
    </row>
    <row r="10" spans="1:14" s="9" customFormat="1" ht="14" x14ac:dyDescent="0.15">
      <c r="C10" s="11">
        <v>2</v>
      </c>
      <c r="D10" s="13">
        <v>1.49</v>
      </c>
      <c r="E10" s="13">
        <v>1.05</v>
      </c>
      <c r="I10" s="11">
        <v>2</v>
      </c>
      <c r="J10" s="409">
        <v>2.17</v>
      </c>
      <c r="K10" s="13">
        <v>1.49</v>
      </c>
      <c r="M10" s="84"/>
      <c r="N10" s="68"/>
    </row>
    <row r="11" spans="1:14" s="9" customFormat="1" ht="14" x14ac:dyDescent="0.15">
      <c r="C11" s="11">
        <v>3</v>
      </c>
      <c r="D11" s="13">
        <v>1.51</v>
      </c>
      <c r="E11" s="13">
        <v>1.04</v>
      </c>
      <c r="I11" s="11">
        <v>3</v>
      </c>
      <c r="J11" s="409">
        <v>1.92</v>
      </c>
      <c r="K11" s="13">
        <v>1.5</v>
      </c>
      <c r="M11" s="84"/>
      <c r="N11" s="68"/>
    </row>
    <row r="12" spans="1:14" s="9" customFormat="1" ht="14" x14ac:dyDescent="0.15">
      <c r="C12" s="11">
        <v>4</v>
      </c>
      <c r="D12" s="13">
        <v>1.52</v>
      </c>
      <c r="E12" s="13">
        <v>1.04</v>
      </c>
      <c r="I12" s="11">
        <v>4</v>
      </c>
      <c r="J12" s="409">
        <v>1.7</v>
      </c>
      <c r="K12" s="13">
        <v>1.51</v>
      </c>
      <c r="M12" s="84"/>
      <c r="N12" s="68"/>
    </row>
    <row r="13" spans="1:14" s="9" customFormat="1" ht="14" x14ac:dyDescent="0.15">
      <c r="C13" s="11">
        <v>5</v>
      </c>
      <c r="D13" s="13">
        <v>1.49</v>
      </c>
      <c r="E13" s="13">
        <v>1.06</v>
      </c>
      <c r="I13" s="11">
        <v>5</v>
      </c>
      <c r="J13" s="409">
        <v>2.1800000000000002</v>
      </c>
      <c r="K13" s="13">
        <v>1.49</v>
      </c>
      <c r="M13" s="84"/>
      <c r="N13" s="68"/>
    </row>
    <row r="14" spans="1:14" s="9" customFormat="1" ht="14" x14ac:dyDescent="0.15">
      <c r="C14" s="11">
        <v>6</v>
      </c>
      <c r="D14" s="13">
        <v>1.51</v>
      </c>
      <c r="E14" s="17">
        <v>1.1100000000000001</v>
      </c>
      <c r="I14" s="11">
        <v>6</v>
      </c>
      <c r="J14" s="409">
        <v>2.29</v>
      </c>
      <c r="K14" s="13">
        <v>1.47</v>
      </c>
      <c r="M14" s="84"/>
      <c r="N14" s="68"/>
    </row>
    <row r="15" spans="1:14" s="9" customFormat="1" ht="14" x14ac:dyDescent="0.15">
      <c r="C15" s="11">
        <v>7</v>
      </c>
      <c r="D15" s="13">
        <v>1.49</v>
      </c>
      <c r="E15" s="13">
        <v>1.44</v>
      </c>
      <c r="I15" s="11">
        <v>7</v>
      </c>
      <c r="J15" s="409">
        <v>2.2999999999999998</v>
      </c>
      <c r="K15" s="13">
        <v>1.48</v>
      </c>
      <c r="M15" s="84"/>
      <c r="N15" s="68"/>
    </row>
    <row r="16" spans="1:14" s="9" customFormat="1" ht="14" x14ac:dyDescent="0.15">
      <c r="C16" s="11">
        <v>8</v>
      </c>
      <c r="D16" s="13">
        <v>1.39</v>
      </c>
      <c r="E16" s="13">
        <v>1.45</v>
      </c>
      <c r="H16" s="11" t="s">
        <v>195</v>
      </c>
      <c r="I16" s="11">
        <v>8</v>
      </c>
      <c r="J16" s="409">
        <v>1.71</v>
      </c>
      <c r="K16" s="13">
        <v>1.7</v>
      </c>
      <c r="M16" s="84"/>
      <c r="N16" s="68"/>
    </row>
    <row r="17" spans="2:14" s="9" customFormat="1" ht="14" x14ac:dyDescent="0.15">
      <c r="C17" s="11">
        <v>9</v>
      </c>
      <c r="D17" s="17">
        <v>1.48</v>
      </c>
      <c r="E17" s="13">
        <v>1.43</v>
      </c>
      <c r="I17" s="11">
        <v>9</v>
      </c>
      <c r="J17" s="409">
        <v>1.87</v>
      </c>
      <c r="K17" s="13">
        <v>1.72</v>
      </c>
      <c r="M17" s="84"/>
      <c r="N17" s="68"/>
    </row>
    <row r="18" spans="2:14" s="9" customFormat="1" ht="14" x14ac:dyDescent="0.15">
      <c r="C18" s="11">
        <v>10</v>
      </c>
      <c r="D18" s="13">
        <v>1.52</v>
      </c>
      <c r="E18" s="13">
        <v>1.46</v>
      </c>
      <c r="I18" s="11">
        <v>10</v>
      </c>
      <c r="J18" s="409">
        <v>1.96</v>
      </c>
      <c r="K18" s="13">
        <v>1.76</v>
      </c>
      <c r="M18" s="84"/>
      <c r="N18" s="68"/>
    </row>
    <row r="19" spans="2:14" s="9" customFormat="1" ht="14" x14ac:dyDescent="0.15">
      <c r="C19" s="11">
        <v>11</v>
      </c>
      <c r="D19" s="13">
        <v>1.4</v>
      </c>
      <c r="E19" s="13">
        <v>1.0900000000000001</v>
      </c>
      <c r="I19" s="11">
        <v>11</v>
      </c>
      <c r="J19" s="409">
        <v>1.89</v>
      </c>
      <c r="K19" s="13">
        <v>1.76</v>
      </c>
      <c r="M19" s="84"/>
      <c r="N19" s="68"/>
    </row>
    <row r="20" spans="2:14" s="9" customFormat="1" ht="14" x14ac:dyDescent="0.15">
      <c r="C20" s="11">
        <v>12</v>
      </c>
      <c r="D20" s="13">
        <v>1.53</v>
      </c>
      <c r="E20" s="17">
        <v>1.31</v>
      </c>
      <c r="I20" s="11">
        <v>12</v>
      </c>
      <c r="J20" s="409">
        <v>2.0099999999999998</v>
      </c>
      <c r="K20" s="13">
        <v>1.75</v>
      </c>
      <c r="M20" s="84"/>
      <c r="N20" s="68"/>
    </row>
    <row r="21" spans="2:14" s="9" customFormat="1" ht="14" x14ac:dyDescent="0.15">
      <c r="C21" s="11">
        <v>13</v>
      </c>
      <c r="D21" s="13">
        <v>1.5</v>
      </c>
      <c r="E21" s="13">
        <v>1.0900000000000001</v>
      </c>
      <c r="I21" s="11">
        <v>13</v>
      </c>
      <c r="J21" s="409">
        <v>2.04</v>
      </c>
      <c r="K21" s="13">
        <v>1.74</v>
      </c>
      <c r="M21" s="84"/>
      <c r="N21" s="68"/>
    </row>
    <row r="22" spans="2:14" s="9" customFormat="1" ht="14" x14ac:dyDescent="0.15">
      <c r="C22" s="11">
        <v>14</v>
      </c>
      <c r="D22" s="17">
        <v>1.48</v>
      </c>
      <c r="E22" s="13">
        <v>1.22</v>
      </c>
      <c r="I22" s="11">
        <v>14</v>
      </c>
      <c r="J22" s="409">
        <v>2.17</v>
      </c>
      <c r="K22" s="13">
        <v>1.76</v>
      </c>
      <c r="M22" s="84"/>
      <c r="N22" s="68"/>
    </row>
    <row r="23" spans="2:14" s="9" customFormat="1" ht="14" x14ac:dyDescent="0.15">
      <c r="B23" s="178" t="s">
        <v>1056</v>
      </c>
      <c r="C23" s="11">
        <v>15</v>
      </c>
      <c r="D23" s="17">
        <v>1.48</v>
      </c>
      <c r="E23" s="13">
        <v>1.03</v>
      </c>
      <c r="H23" s="11" t="s">
        <v>196</v>
      </c>
      <c r="I23" s="11">
        <v>15</v>
      </c>
      <c r="J23" s="409">
        <v>1.7906976744186047</v>
      </c>
      <c r="K23" s="13">
        <v>1.66</v>
      </c>
      <c r="M23" s="84"/>
      <c r="N23" s="68"/>
    </row>
    <row r="24" spans="2:14" s="9" customFormat="1" ht="14" x14ac:dyDescent="0.15">
      <c r="C24" s="11">
        <v>16</v>
      </c>
      <c r="D24" s="17">
        <v>1.37</v>
      </c>
      <c r="E24" s="13">
        <v>1.02</v>
      </c>
      <c r="I24" s="11">
        <v>16</v>
      </c>
      <c r="J24" s="409">
        <v>1.7906976744186047</v>
      </c>
      <c r="K24" s="13">
        <v>1.73</v>
      </c>
      <c r="M24" s="84"/>
      <c r="N24" s="68"/>
    </row>
    <row r="25" spans="2:14" s="9" customFormat="1" ht="14" x14ac:dyDescent="0.15">
      <c r="C25" s="11">
        <v>17</v>
      </c>
      <c r="D25" s="13">
        <v>1.3770491803278688</v>
      </c>
      <c r="E25" s="13">
        <v>1.05</v>
      </c>
      <c r="I25" s="11">
        <v>17</v>
      </c>
      <c r="J25" s="409">
        <v>1.74</v>
      </c>
      <c r="K25" s="13">
        <v>1.71</v>
      </c>
      <c r="M25" s="84"/>
      <c r="N25" s="68"/>
    </row>
    <row r="26" spans="2:14" s="9" customFormat="1" ht="14" x14ac:dyDescent="0.15">
      <c r="C26" s="11">
        <v>18</v>
      </c>
      <c r="D26" s="17">
        <v>1.48</v>
      </c>
      <c r="E26" s="13">
        <v>1.08</v>
      </c>
      <c r="I26" s="11">
        <v>18</v>
      </c>
      <c r="J26" s="409">
        <v>1.71</v>
      </c>
      <c r="K26" s="13">
        <v>1.72</v>
      </c>
      <c r="M26" s="84"/>
      <c r="N26" s="68"/>
    </row>
    <row r="27" spans="2:14" s="9" customFormat="1" ht="14" x14ac:dyDescent="0.15">
      <c r="C27" s="11">
        <v>19</v>
      </c>
      <c r="D27" s="13">
        <v>1.41</v>
      </c>
      <c r="E27" s="13">
        <v>1.1399999999999999</v>
      </c>
      <c r="I27" s="11">
        <v>19</v>
      </c>
      <c r="J27" s="409">
        <v>1.71</v>
      </c>
      <c r="K27" s="13">
        <v>1.74</v>
      </c>
      <c r="M27" s="84"/>
      <c r="N27" s="68"/>
    </row>
    <row r="28" spans="2:14" s="9" customFormat="1" ht="14" x14ac:dyDescent="0.15">
      <c r="C28" s="11">
        <v>20</v>
      </c>
      <c r="D28" s="13">
        <v>1.38</v>
      </c>
      <c r="E28" s="17">
        <v>1.42</v>
      </c>
      <c r="I28" s="11">
        <v>20</v>
      </c>
      <c r="J28" s="409">
        <v>1.71</v>
      </c>
      <c r="K28" s="13">
        <v>1.74</v>
      </c>
      <c r="M28" s="84"/>
      <c r="N28" s="68"/>
    </row>
    <row r="29" spans="2:14" s="9" customFormat="1" ht="14" x14ac:dyDescent="0.15">
      <c r="C29" s="11">
        <v>21</v>
      </c>
      <c r="D29" s="13">
        <v>1.3770491803278688</v>
      </c>
      <c r="E29" s="13">
        <v>1.46</v>
      </c>
      <c r="I29" s="11">
        <v>21</v>
      </c>
      <c r="J29" s="409">
        <v>1.7441860465116279</v>
      </c>
      <c r="K29" s="13">
        <v>1.55</v>
      </c>
      <c r="M29" s="84"/>
      <c r="N29" s="68"/>
    </row>
    <row r="30" spans="2:14" s="9" customFormat="1" ht="14" x14ac:dyDescent="0.15">
      <c r="C30" s="11">
        <v>22</v>
      </c>
      <c r="D30" s="17">
        <v>1.48</v>
      </c>
      <c r="E30" s="13">
        <v>1.33</v>
      </c>
      <c r="H30" s="11" t="s">
        <v>197</v>
      </c>
      <c r="I30" s="11">
        <v>22</v>
      </c>
      <c r="J30" s="409">
        <v>2.0499999999999998</v>
      </c>
      <c r="K30" s="13">
        <v>1.51</v>
      </c>
      <c r="M30" s="84"/>
      <c r="N30" s="68"/>
    </row>
    <row r="31" spans="2:14" s="9" customFormat="1" ht="14" x14ac:dyDescent="0.15">
      <c r="B31" s="178" t="s">
        <v>947</v>
      </c>
      <c r="C31" s="11">
        <v>23</v>
      </c>
      <c r="D31" s="13">
        <v>1.52</v>
      </c>
      <c r="E31" s="13">
        <v>1.25</v>
      </c>
      <c r="I31" s="11">
        <v>23</v>
      </c>
      <c r="J31" s="409">
        <v>2.0499999999999998</v>
      </c>
      <c r="K31" s="13">
        <v>1.52</v>
      </c>
      <c r="M31" s="84"/>
      <c r="N31" s="68"/>
    </row>
    <row r="32" spans="2:14" s="9" customFormat="1" ht="14" x14ac:dyDescent="0.15">
      <c r="C32" s="11">
        <v>24</v>
      </c>
      <c r="D32" s="13">
        <v>1.49</v>
      </c>
      <c r="E32" s="13">
        <v>1.35</v>
      </c>
      <c r="I32" s="11">
        <v>24</v>
      </c>
      <c r="J32" s="409">
        <v>1.72</v>
      </c>
      <c r="K32" s="13">
        <v>1.53</v>
      </c>
      <c r="M32" s="84"/>
      <c r="N32" s="68"/>
    </row>
    <row r="33" spans="2:14" s="9" customFormat="1" ht="14" x14ac:dyDescent="0.15">
      <c r="C33" s="11">
        <v>25</v>
      </c>
      <c r="D33" s="13">
        <v>1.49</v>
      </c>
      <c r="E33" s="13">
        <v>1.22</v>
      </c>
      <c r="I33" s="11">
        <v>25</v>
      </c>
      <c r="J33" s="409">
        <v>1.73</v>
      </c>
      <c r="K33" s="13">
        <v>1.49</v>
      </c>
      <c r="M33" s="84"/>
      <c r="N33" s="68"/>
    </row>
    <row r="34" spans="2:14" s="9" customFormat="1" ht="14" x14ac:dyDescent="0.15">
      <c r="C34" s="11">
        <v>26</v>
      </c>
      <c r="D34" s="17">
        <v>1.45</v>
      </c>
      <c r="E34" s="13">
        <v>1.1599999999999999</v>
      </c>
      <c r="I34" s="11">
        <v>26</v>
      </c>
      <c r="J34" s="409">
        <v>1.7435897435897436</v>
      </c>
      <c r="K34" s="13">
        <v>1.53</v>
      </c>
      <c r="M34" s="84"/>
      <c r="N34" s="68"/>
    </row>
    <row r="35" spans="2:14" s="9" customFormat="1" ht="14" x14ac:dyDescent="0.15">
      <c r="C35" s="11">
        <v>27</v>
      </c>
      <c r="D35" s="13">
        <v>1.53</v>
      </c>
      <c r="E35" s="13">
        <v>1.37</v>
      </c>
      <c r="I35" s="11">
        <v>27</v>
      </c>
      <c r="J35" s="409">
        <v>1.96</v>
      </c>
      <c r="K35" s="13"/>
      <c r="M35" s="84"/>
      <c r="N35" s="68"/>
    </row>
    <row r="36" spans="2:14" s="9" customFormat="1" ht="14" x14ac:dyDescent="0.15">
      <c r="C36" s="11">
        <v>28</v>
      </c>
      <c r="D36" s="13">
        <v>1.42</v>
      </c>
      <c r="E36" s="13">
        <v>1.39</v>
      </c>
      <c r="I36" s="11">
        <v>28</v>
      </c>
      <c r="J36" s="409">
        <v>1.94</v>
      </c>
      <c r="K36" s="13"/>
      <c r="M36" s="84"/>
      <c r="N36" s="68"/>
    </row>
    <row r="37" spans="2:14" s="9" customFormat="1" ht="14" x14ac:dyDescent="0.15">
      <c r="C37" s="11">
        <v>29</v>
      </c>
      <c r="D37" s="13">
        <v>1.44</v>
      </c>
      <c r="E37" s="13">
        <v>1.06</v>
      </c>
      <c r="H37" s="11" t="s">
        <v>198</v>
      </c>
      <c r="I37" s="11">
        <v>29</v>
      </c>
      <c r="J37" s="409">
        <v>2.2599999999999998</v>
      </c>
      <c r="K37" s="13">
        <v>1.59</v>
      </c>
      <c r="M37" s="84"/>
      <c r="N37" s="68"/>
    </row>
    <row r="38" spans="2:14" s="9" customFormat="1" ht="14" x14ac:dyDescent="0.15">
      <c r="C38" s="11">
        <v>30</v>
      </c>
      <c r="D38" s="13">
        <v>1.49</v>
      </c>
      <c r="E38" s="13">
        <v>1.06</v>
      </c>
      <c r="I38" s="11">
        <v>30</v>
      </c>
      <c r="J38" s="409">
        <v>2.2599999999999998</v>
      </c>
      <c r="K38" s="13">
        <v>1.73</v>
      </c>
      <c r="M38" s="84"/>
      <c r="N38" s="68"/>
    </row>
    <row r="39" spans="2:14" s="9" customFormat="1" ht="14" x14ac:dyDescent="0.15">
      <c r="C39" s="11">
        <v>31</v>
      </c>
      <c r="D39" s="485">
        <v>1.5</v>
      </c>
      <c r="E39" s="485">
        <v>1.08</v>
      </c>
      <c r="I39" s="11">
        <v>31</v>
      </c>
      <c r="J39" s="409">
        <v>2.23</v>
      </c>
      <c r="K39" s="13">
        <v>1.68</v>
      </c>
      <c r="M39" s="84"/>
      <c r="N39" s="68"/>
    </row>
    <row r="40" spans="2:14" s="9" customFormat="1" ht="14" x14ac:dyDescent="0.15">
      <c r="C40" s="178">
        <v>32</v>
      </c>
      <c r="D40" s="487">
        <v>1.41</v>
      </c>
      <c r="E40" s="495">
        <v>1.08</v>
      </c>
      <c r="I40" s="11">
        <v>32</v>
      </c>
      <c r="J40" s="409">
        <v>2.27</v>
      </c>
      <c r="K40" s="13">
        <v>1.61</v>
      </c>
      <c r="M40" s="84"/>
      <c r="N40" s="68"/>
    </row>
    <row r="41" spans="2:14" s="9" customFormat="1" ht="14" x14ac:dyDescent="0.15">
      <c r="C41" s="178">
        <v>33</v>
      </c>
      <c r="D41" s="488">
        <v>1.46</v>
      </c>
      <c r="E41" s="489">
        <v>1.18</v>
      </c>
      <c r="I41" s="11">
        <v>33</v>
      </c>
      <c r="J41" s="409">
        <v>2.25</v>
      </c>
      <c r="K41" s="13">
        <v>1.75</v>
      </c>
      <c r="M41" s="84"/>
      <c r="N41" s="68"/>
    </row>
    <row r="42" spans="2:14" s="9" customFormat="1" ht="14" x14ac:dyDescent="0.15">
      <c r="C42" s="178">
        <v>34</v>
      </c>
      <c r="D42" s="489">
        <v>1.51</v>
      </c>
      <c r="E42" s="490">
        <v>1.25</v>
      </c>
      <c r="I42" s="11">
        <v>34</v>
      </c>
      <c r="J42" s="409">
        <v>2.27</v>
      </c>
      <c r="K42" s="13"/>
      <c r="M42" s="84"/>
      <c r="N42" s="68"/>
    </row>
    <row r="43" spans="2:14" s="9" customFormat="1" ht="14" x14ac:dyDescent="0.15">
      <c r="B43" s="178" t="s">
        <v>1058</v>
      </c>
      <c r="C43" s="178">
        <v>35</v>
      </c>
      <c r="D43" s="489">
        <v>1.44</v>
      </c>
      <c r="E43" s="494">
        <v>1.49</v>
      </c>
      <c r="I43" s="11">
        <v>35</v>
      </c>
      <c r="J43" s="409">
        <v>2.2599999999999998</v>
      </c>
      <c r="K43" s="13"/>
      <c r="M43" s="84"/>
      <c r="N43" s="68"/>
    </row>
    <row r="44" spans="2:14" s="9" customFormat="1" ht="14" x14ac:dyDescent="0.15">
      <c r="C44" s="178">
        <v>36</v>
      </c>
      <c r="D44" s="489">
        <v>1.44</v>
      </c>
      <c r="E44" s="484">
        <v>1.49</v>
      </c>
      <c r="I44" s="11">
        <v>36</v>
      </c>
      <c r="J44" s="409">
        <v>2.29</v>
      </c>
      <c r="K44" s="413"/>
      <c r="M44" s="84"/>
      <c r="N44" s="68"/>
    </row>
    <row r="45" spans="2:14" s="9" customFormat="1" ht="14" x14ac:dyDescent="0.15">
      <c r="C45" s="178">
        <v>37</v>
      </c>
      <c r="D45" s="491">
        <v>1.48</v>
      </c>
      <c r="E45" s="484">
        <v>1.49</v>
      </c>
      <c r="H45" s="11" t="s">
        <v>199</v>
      </c>
      <c r="I45" s="11">
        <v>37</v>
      </c>
      <c r="J45" s="409">
        <v>1.72</v>
      </c>
      <c r="K45" s="13">
        <v>1.75</v>
      </c>
      <c r="M45" s="84"/>
      <c r="N45" s="68"/>
    </row>
    <row r="46" spans="2:14" s="9" customFormat="1" ht="14" x14ac:dyDescent="0.15">
      <c r="C46" s="178">
        <v>38</v>
      </c>
      <c r="D46" s="489">
        <v>1.51</v>
      </c>
      <c r="E46" s="484">
        <v>1.46</v>
      </c>
      <c r="I46" s="11">
        <v>38</v>
      </c>
      <c r="J46" s="409">
        <v>2.02</v>
      </c>
      <c r="K46" s="13">
        <v>1.93</v>
      </c>
      <c r="M46" s="84"/>
      <c r="N46" s="68"/>
    </row>
    <row r="47" spans="2:14" s="9" customFormat="1" ht="14" x14ac:dyDescent="0.15">
      <c r="C47" s="178">
        <v>39</v>
      </c>
      <c r="D47" s="493">
        <v>1.35</v>
      </c>
      <c r="E47" s="492">
        <v>1.23</v>
      </c>
      <c r="I47" s="11">
        <v>39</v>
      </c>
      <c r="J47" s="409">
        <v>1.89</v>
      </c>
      <c r="K47" s="13">
        <v>1.89</v>
      </c>
      <c r="M47" s="84"/>
      <c r="N47" s="68"/>
    </row>
    <row r="48" spans="2:14" s="9" customFormat="1" ht="14" x14ac:dyDescent="0.15">
      <c r="C48" s="178">
        <v>40</v>
      </c>
      <c r="D48" s="490">
        <v>1.49</v>
      </c>
      <c r="E48" s="484">
        <v>1.46</v>
      </c>
      <c r="I48" s="11">
        <v>40</v>
      </c>
      <c r="J48" s="409">
        <v>1.92</v>
      </c>
      <c r="K48" s="13">
        <v>1.9</v>
      </c>
      <c r="M48" s="84"/>
      <c r="N48" s="68"/>
    </row>
    <row r="49" spans="3:14" s="9" customFormat="1" ht="14" x14ac:dyDescent="0.15">
      <c r="C49" s="11">
        <v>41</v>
      </c>
      <c r="D49" s="486">
        <v>1.47</v>
      </c>
      <c r="E49" s="13">
        <v>1.39</v>
      </c>
      <c r="I49" s="11">
        <v>41</v>
      </c>
      <c r="J49" s="409">
        <v>1.95</v>
      </c>
      <c r="K49" s="13">
        <v>1.98</v>
      </c>
      <c r="M49" s="84"/>
      <c r="N49" s="68"/>
    </row>
    <row r="50" spans="3:14" s="9" customFormat="1" ht="14" x14ac:dyDescent="0.15">
      <c r="C50" s="11">
        <v>42</v>
      </c>
      <c r="D50" s="13">
        <v>1.5</v>
      </c>
      <c r="E50" s="13">
        <v>1.24</v>
      </c>
      <c r="I50" s="11">
        <v>42</v>
      </c>
      <c r="J50" s="409">
        <v>1.96</v>
      </c>
      <c r="K50" s="13"/>
      <c r="M50" s="84"/>
      <c r="N50" s="68"/>
    </row>
    <row r="51" spans="3:14" s="9" customFormat="1" ht="14" x14ac:dyDescent="0.15">
      <c r="C51" s="11">
        <v>43</v>
      </c>
      <c r="D51" s="13">
        <v>1.47</v>
      </c>
      <c r="E51" s="13">
        <v>1.39</v>
      </c>
      <c r="I51" s="11">
        <v>43</v>
      </c>
      <c r="J51" s="409">
        <v>2.02</v>
      </c>
      <c r="K51" s="13"/>
      <c r="M51" s="84"/>
      <c r="N51" s="68"/>
    </row>
    <row r="52" spans="3:14" s="9" customFormat="1" ht="14" x14ac:dyDescent="0.15">
      <c r="C52" s="11">
        <v>44</v>
      </c>
      <c r="D52" s="13">
        <v>1.49</v>
      </c>
      <c r="E52" s="13">
        <v>1.24</v>
      </c>
      <c r="I52" s="11">
        <v>44</v>
      </c>
      <c r="J52" s="409">
        <v>1.72</v>
      </c>
      <c r="K52" s="413"/>
      <c r="M52" s="84"/>
      <c r="N52" s="68"/>
    </row>
    <row r="53" spans="3:14" s="9" customFormat="1" ht="14" x14ac:dyDescent="0.15">
      <c r="C53" s="11">
        <v>45</v>
      </c>
      <c r="D53" s="13">
        <v>1.47</v>
      </c>
      <c r="E53" s="13">
        <v>1.21</v>
      </c>
      <c r="I53" s="11">
        <v>45</v>
      </c>
      <c r="J53" s="409">
        <v>1.73</v>
      </c>
      <c r="K53" s="413"/>
      <c r="M53" s="68"/>
      <c r="N53" s="68"/>
    </row>
    <row r="54" spans="3:14" s="9" customFormat="1" ht="14" x14ac:dyDescent="0.15">
      <c r="C54" s="11">
        <v>46</v>
      </c>
      <c r="D54" s="17">
        <v>1.35</v>
      </c>
      <c r="E54" s="17">
        <v>1.47</v>
      </c>
      <c r="H54" s="11" t="s">
        <v>1061</v>
      </c>
      <c r="I54" s="11">
        <v>46</v>
      </c>
      <c r="J54" s="409">
        <v>1.7441860465116279</v>
      </c>
      <c r="K54" s="13">
        <v>1.48</v>
      </c>
      <c r="M54" s="68"/>
      <c r="N54" s="68"/>
    </row>
    <row r="55" spans="3:14" s="9" customFormat="1" ht="14" x14ac:dyDescent="0.15">
      <c r="C55" s="11">
        <v>47</v>
      </c>
      <c r="D55" s="17">
        <v>1.36</v>
      </c>
      <c r="E55" s="17">
        <v>1.42</v>
      </c>
      <c r="I55" s="11">
        <v>47</v>
      </c>
      <c r="J55" s="409">
        <v>1.75</v>
      </c>
      <c r="K55" s="13">
        <v>1.57</v>
      </c>
      <c r="M55" s="68"/>
      <c r="N55" s="68"/>
    </row>
    <row r="56" spans="3:14" s="9" customFormat="1" ht="14" x14ac:dyDescent="0.15">
      <c r="C56" s="11">
        <v>48</v>
      </c>
      <c r="D56" s="13">
        <v>1.33</v>
      </c>
      <c r="E56" s="17">
        <v>1.1200000000000001</v>
      </c>
      <c r="I56" s="11">
        <v>48</v>
      </c>
      <c r="J56" s="409">
        <v>1.7</v>
      </c>
      <c r="K56" s="13">
        <v>1.64</v>
      </c>
      <c r="M56" s="68"/>
      <c r="N56" s="68"/>
    </row>
    <row r="57" spans="3:14" s="9" customFormat="1" ht="14" x14ac:dyDescent="0.15">
      <c r="C57" s="11">
        <v>49</v>
      </c>
      <c r="D57" s="13">
        <v>1.42</v>
      </c>
      <c r="E57" s="17">
        <v>1.42</v>
      </c>
      <c r="I57" s="11">
        <v>49</v>
      </c>
      <c r="J57" s="409">
        <v>1.72</v>
      </c>
      <c r="K57" s="13"/>
      <c r="M57" s="68"/>
      <c r="N57" s="68"/>
    </row>
    <row r="58" spans="3:14" s="9" customFormat="1" ht="14" x14ac:dyDescent="0.15">
      <c r="C58" s="11">
        <v>50</v>
      </c>
      <c r="D58" s="13">
        <v>1.5</v>
      </c>
      <c r="E58" s="17">
        <v>1.1100000000000001</v>
      </c>
      <c r="I58" s="11">
        <v>50</v>
      </c>
      <c r="J58" s="409">
        <v>1.93</v>
      </c>
      <c r="K58" s="13"/>
    </row>
    <row r="59" spans="3:14" s="9" customFormat="1" ht="14" x14ac:dyDescent="0.15">
      <c r="C59" s="11">
        <v>51</v>
      </c>
      <c r="D59" s="13">
        <v>1.52</v>
      </c>
      <c r="E59" s="13">
        <v>1.51</v>
      </c>
      <c r="I59" s="11">
        <v>51</v>
      </c>
      <c r="J59" s="409">
        <v>2.13</v>
      </c>
      <c r="K59" s="13"/>
    </row>
    <row r="60" spans="3:14" s="9" customFormat="1" ht="14" x14ac:dyDescent="0.15">
      <c r="C60" s="11">
        <v>52</v>
      </c>
      <c r="D60" s="13">
        <v>1.41</v>
      </c>
      <c r="E60" s="17">
        <v>1.51</v>
      </c>
      <c r="I60" s="11">
        <v>52</v>
      </c>
      <c r="J60" s="409">
        <v>2.2000000000000002</v>
      </c>
      <c r="K60" s="13"/>
    </row>
    <row r="61" spans="3:14" s="9" customFormat="1" ht="14" x14ac:dyDescent="0.15">
      <c r="C61" s="11">
        <v>53</v>
      </c>
      <c r="D61" s="13">
        <v>1.53</v>
      </c>
      <c r="E61" s="13">
        <v>1.5</v>
      </c>
      <c r="H61" s="11" t="s">
        <v>201</v>
      </c>
      <c r="I61" s="11">
        <v>53</v>
      </c>
      <c r="J61" s="409">
        <v>1.75</v>
      </c>
      <c r="K61" s="13">
        <v>2</v>
      </c>
    </row>
    <row r="62" spans="3:14" s="9" customFormat="1" ht="14" x14ac:dyDescent="0.15">
      <c r="C62" s="11">
        <v>54</v>
      </c>
      <c r="D62" s="13">
        <v>1.41</v>
      </c>
      <c r="E62" s="17">
        <v>1.48</v>
      </c>
      <c r="I62" s="11">
        <v>54</v>
      </c>
      <c r="J62" s="409">
        <v>1.83</v>
      </c>
      <c r="K62" s="13">
        <v>2.0163934426229506</v>
      </c>
    </row>
    <row r="63" spans="3:14" s="9" customFormat="1" ht="14" x14ac:dyDescent="0.15">
      <c r="C63" s="11">
        <v>55</v>
      </c>
      <c r="D63" s="13">
        <v>1.33</v>
      </c>
      <c r="E63" s="13">
        <v>1.21</v>
      </c>
      <c r="I63" s="11">
        <v>55</v>
      </c>
      <c r="J63" s="409">
        <v>1.98</v>
      </c>
      <c r="K63" s="13"/>
    </row>
    <row r="64" spans="3:14" s="9" customFormat="1" ht="14" x14ac:dyDescent="0.15">
      <c r="C64" s="11">
        <v>56</v>
      </c>
      <c r="D64" s="17">
        <v>1.35</v>
      </c>
      <c r="E64" s="17">
        <v>1.27</v>
      </c>
      <c r="I64" s="11">
        <v>56</v>
      </c>
      <c r="J64" s="409">
        <v>1.98</v>
      </c>
      <c r="K64" s="17"/>
    </row>
    <row r="65" spans="2:13" s="9" customFormat="1" ht="14" x14ac:dyDescent="0.15">
      <c r="C65" s="11">
        <v>57</v>
      </c>
      <c r="D65" s="13">
        <v>1.47</v>
      </c>
      <c r="E65" s="17"/>
      <c r="I65" s="11">
        <v>57</v>
      </c>
      <c r="J65" s="409">
        <v>1.83</v>
      </c>
      <c r="K65" s="17"/>
    </row>
    <row r="66" spans="2:13" s="9" customFormat="1" ht="14" x14ac:dyDescent="0.15">
      <c r="C66" s="11">
        <v>58</v>
      </c>
      <c r="D66" s="17">
        <v>1.36</v>
      </c>
      <c r="E66" s="17"/>
      <c r="I66" s="11">
        <v>58</v>
      </c>
      <c r="J66" s="409">
        <v>1.86</v>
      </c>
      <c r="K66" s="17"/>
    </row>
    <row r="67" spans="2:13" s="9" customFormat="1" ht="14" x14ac:dyDescent="0.15">
      <c r="C67" s="11">
        <v>59</v>
      </c>
      <c r="D67" s="17">
        <v>1.45</v>
      </c>
      <c r="E67" s="17"/>
      <c r="I67" s="11">
        <v>59</v>
      </c>
      <c r="J67" s="409">
        <v>1.87</v>
      </c>
      <c r="K67" s="17"/>
    </row>
    <row r="68" spans="2:13" s="9" customFormat="1" ht="14" x14ac:dyDescent="0.15">
      <c r="C68" s="11">
        <v>60</v>
      </c>
      <c r="D68" s="13">
        <v>1.46</v>
      </c>
      <c r="E68" s="17"/>
      <c r="I68" s="11">
        <v>60</v>
      </c>
      <c r="J68" s="409">
        <v>1.95</v>
      </c>
      <c r="K68" s="17"/>
    </row>
    <row r="69" spans="2:13" s="9" customFormat="1" ht="14" x14ac:dyDescent="0.15">
      <c r="C69" s="11">
        <v>61</v>
      </c>
      <c r="D69" s="13">
        <v>1.41</v>
      </c>
      <c r="E69" s="17"/>
      <c r="I69" s="11">
        <v>61</v>
      </c>
      <c r="J69" s="409">
        <v>1.75</v>
      </c>
      <c r="K69" s="17"/>
    </row>
    <row r="70" spans="2:13" s="9" customFormat="1" ht="14" x14ac:dyDescent="0.15">
      <c r="C70" s="11">
        <v>62</v>
      </c>
      <c r="D70" s="17">
        <v>1.48</v>
      </c>
      <c r="E70" s="17"/>
      <c r="I70" s="11">
        <v>62</v>
      </c>
      <c r="J70" s="409">
        <v>1.94</v>
      </c>
      <c r="K70" s="17"/>
    </row>
    <row r="71" spans="2:13" s="9" customFormat="1" ht="14" x14ac:dyDescent="0.15">
      <c r="C71" s="11">
        <v>63</v>
      </c>
      <c r="D71" s="13">
        <v>1.49</v>
      </c>
      <c r="E71" s="17"/>
      <c r="H71" s="11" t="s">
        <v>202</v>
      </c>
      <c r="I71" s="11">
        <v>63</v>
      </c>
      <c r="J71" s="409">
        <v>1.92</v>
      </c>
      <c r="K71" s="13">
        <v>1.82</v>
      </c>
    </row>
    <row r="72" spans="2:13" s="9" customFormat="1" ht="14" x14ac:dyDescent="0.15">
      <c r="C72" s="11">
        <v>64</v>
      </c>
      <c r="D72" s="13">
        <v>1.43</v>
      </c>
      <c r="E72" s="17"/>
      <c r="I72" s="11">
        <v>64</v>
      </c>
      <c r="J72" s="409">
        <v>1.98</v>
      </c>
      <c r="K72" s="13">
        <v>1.86</v>
      </c>
    </row>
    <row r="73" spans="2:13" s="9" customFormat="1" ht="14" x14ac:dyDescent="0.15">
      <c r="B73" s="178" t="s">
        <v>1059</v>
      </c>
      <c r="C73" s="11">
        <v>65</v>
      </c>
      <c r="D73" s="13">
        <v>1.49</v>
      </c>
      <c r="E73" s="13">
        <v>1.03</v>
      </c>
      <c r="I73" s="11">
        <v>65</v>
      </c>
      <c r="J73" s="409">
        <v>2.02</v>
      </c>
      <c r="K73" s="13">
        <v>1.95</v>
      </c>
    </row>
    <row r="74" spans="2:13" s="9" customFormat="1" ht="14" x14ac:dyDescent="0.15">
      <c r="C74" s="11">
        <v>66</v>
      </c>
      <c r="D74" s="13">
        <v>1.49</v>
      </c>
      <c r="E74" s="13">
        <v>1.1599999999999999</v>
      </c>
      <c r="I74" s="11">
        <v>66</v>
      </c>
      <c r="J74" s="409">
        <v>2.04</v>
      </c>
      <c r="K74" s="17"/>
    </row>
    <row r="75" spans="2:13" s="9" customFormat="1" ht="14" x14ac:dyDescent="0.15">
      <c r="C75" s="11">
        <v>67</v>
      </c>
      <c r="D75" s="13">
        <v>1.49</v>
      </c>
      <c r="E75" s="13">
        <v>1.1200000000000001</v>
      </c>
      <c r="I75" s="11">
        <v>67</v>
      </c>
      <c r="J75" s="409">
        <v>2.12</v>
      </c>
      <c r="K75" s="17"/>
    </row>
    <row r="76" spans="2:13" s="9" customFormat="1" ht="14" x14ac:dyDescent="0.15">
      <c r="C76" s="11">
        <v>68</v>
      </c>
      <c r="D76" s="13">
        <v>1.47</v>
      </c>
      <c r="E76" s="13">
        <v>1.46</v>
      </c>
      <c r="I76" s="11">
        <v>68</v>
      </c>
      <c r="J76" s="409">
        <v>1.97</v>
      </c>
      <c r="K76" s="17"/>
    </row>
    <row r="77" spans="2:13" s="9" customFormat="1" ht="14" x14ac:dyDescent="0.15">
      <c r="C77" s="11">
        <v>69</v>
      </c>
      <c r="D77" s="17">
        <v>1.48</v>
      </c>
      <c r="E77" s="17">
        <v>1.48</v>
      </c>
      <c r="I77" s="11">
        <v>69</v>
      </c>
      <c r="J77" s="409">
        <v>2.04</v>
      </c>
      <c r="K77" s="17"/>
    </row>
    <row r="78" spans="2:13" s="9" customFormat="1" ht="14" x14ac:dyDescent="0.15">
      <c r="C78" s="11">
        <v>70</v>
      </c>
      <c r="D78" s="13">
        <v>1.46</v>
      </c>
      <c r="E78" s="13">
        <v>1.49</v>
      </c>
      <c r="I78" s="11">
        <v>70</v>
      </c>
      <c r="J78" s="409">
        <v>2.0099999999999998</v>
      </c>
      <c r="K78" s="17"/>
    </row>
    <row r="79" spans="2:13" s="9" customFormat="1" ht="14" x14ac:dyDescent="0.15">
      <c r="C79" s="11">
        <v>71</v>
      </c>
      <c r="D79" s="13">
        <v>1.53</v>
      </c>
      <c r="E79" s="13">
        <v>1.22</v>
      </c>
      <c r="L79" s="215"/>
      <c r="M79" s="215"/>
    </row>
    <row r="80" spans="2:13" s="9" customFormat="1" ht="14" x14ac:dyDescent="0.15">
      <c r="C80" s="11">
        <v>72</v>
      </c>
      <c r="D80" s="13">
        <v>1.44</v>
      </c>
      <c r="E80" s="17">
        <v>1.48</v>
      </c>
      <c r="L80" s="215"/>
      <c r="M80" s="215"/>
    </row>
    <row r="81" spans="2:13" s="9" customFormat="1" ht="14" x14ac:dyDescent="0.15">
      <c r="C81" s="11">
        <v>73</v>
      </c>
      <c r="D81" s="13">
        <v>1.43</v>
      </c>
      <c r="E81" s="223">
        <v>1.23</v>
      </c>
      <c r="L81" s="215"/>
      <c r="M81" s="215"/>
    </row>
    <row r="82" spans="2:13" s="9" customFormat="1" ht="14" x14ac:dyDescent="0.15">
      <c r="C82" s="11">
        <v>74</v>
      </c>
      <c r="D82" s="13">
        <v>1.49</v>
      </c>
      <c r="E82" s="13">
        <v>1.32</v>
      </c>
      <c r="L82" s="215"/>
    </row>
    <row r="83" spans="2:13" s="9" customFormat="1" ht="14" x14ac:dyDescent="0.15">
      <c r="C83" s="11">
        <v>75</v>
      </c>
      <c r="D83" s="13">
        <v>1.5</v>
      </c>
      <c r="E83" s="13">
        <v>1.5</v>
      </c>
      <c r="L83" s="215"/>
    </row>
    <row r="84" spans="2:13" s="9" customFormat="1" ht="14" x14ac:dyDescent="0.15">
      <c r="C84" s="11">
        <v>76</v>
      </c>
      <c r="D84" s="17">
        <v>1.45</v>
      </c>
      <c r="E84" s="17">
        <v>1.1100000000000001</v>
      </c>
      <c r="L84" s="215"/>
    </row>
    <row r="85" spans="2:13" s="9" customFormat="1" ht="14" x14ac:dyDescent="0.15">
      <c r="B85" s="178" t="s">
        <v>1060</v>
      </c>
      <c r="C85" s="11">
        <v>77</v>
      </c>
      <c r="D85" s="13">
        <v>1.43</v>
      </c>
      <c r="E85" s="13">
        <v>1.1200000000000001</v>
      </c>
      <c r="L85" s="215"/>
    </row>
    <row r="86" spans="2:13" s="9" customFormat="1" ht="14" x14ac:dyDescent="0.15">
      <c r="C86" s="11">
        <v>78</v>
      </c>
      <c r="D86" s="17">
        <v>1.54</v>
      </c>
      <c r="E86" s="13">
        <v>1.18</v>
      </c>
      <c r="L86" s="215"/>
    </row>
    <row r="87" spans="2:13" s="9" customFormat="1" ht="14" x14ac:dyDescent="0.15">
      <c r="C87" s="11">
        <v>79</v>
      </c>
      <c r="D87" s="13">
        <v>1.51</v>
      </c>
      <c r="E87" s="17">
        <v>1.27</v>
      </c>
      <c r="L87" s="215"/>
    </row>
    <row r="88" spans="2:13" s="9" customFormat="1" ht="14" x14ac:dyDescent="0.15">
      <c r="C88" s="11">
        <v>80</v>
      </c>
      <c r="D88" s="13">
        <v>1.43</v>
      </c>
      <c r="E88" s="13">
        <v>1.1399999999999999</v>
      </c>
      <c r="L88" s="215"/>
    </row>
    <row r="89" spans="2:13" s="9" customFormat="1" ht="14" x14ac:dyDescent="0.15">
      <c r="C89" s="11">
        <v>81</v>
      </c>
      <c r="D89" s="13">
        <v>1.43</v>
      </c>
      <c r="E89" s="223">
        <v>1.23</v>
      </c>
      <c r="L89" s="215"/>
      <c r="M89" s="215"/>
    </row>
    <row r="90" spans="2:13" s="9" customFormat="1" ht="14" x14ac:dyDescent="0.15">
      <c r="C90" s="11">
        <v>82</v>
      </c>
      <c r="D90" s="17">
        <v>1.36</v>
      </c>
      <c r="E90" s="13">
        <v>1.33</v>
      </c>
      <c r="L90" s="215"/>
      <c r="M90" s="215"/>
    </row>
    <row r="91" spans="2:13" s="9" customFormat="1" ht="14" x14ac:dyDescent="0.15">
      <c r="C91" s="11">
        <v>83</v>
      </c>
      <c r="D91" s="13">
        <v>1.42</v>
      </c>
      <c r="E91" s="17">
        <v>1.47</v>
      </c>
      <c r="L91" s="215"/>
      <c r="M91" s="215"/>
    </row>
    <row r="92" spans="2:13" s="9" customFormat="1" ht="14" x14ac:dyDescent="0.15">
      <c r="C92" s="11">
        <v>84</v>
      </c>
      <c r="D92" s="13">
        <v>1.33</v>
      </c>
      <c r="E92" s="17">
        <v>1.48</v>
      </c>
      <c r="L92" s="215"/>
      <c r="M92" s="254"/>
    </row>
    <row r="93" spans="2:13" s="9" customFormat="1" ht="14" x14ac:dyDescent="0.15">
      <c r="C93" s="11">
        <v>85</v>
      </c>
      <c r="D93" s="13">
        <v>1.32</v>
      </c>
      <c r="E93" s="17">
        <v>1.47</v>
      </c>
      <c r="L93" s="215"/>
      <c r="M93" s="254"/>
    </row>
    <row r="94" spans="2:13" s="9" customFormat="1" ht="14" x14ac:dyDescent="0.15">
      <c r="C94" s="11">
        <v>86</v>
      </c>
      <c r="D94" s="13">
        <v>1.44</v>
      </c>
      <c r="E94" s="17">
        <v>1.31</v>
      </c>
      <c r="L94" s="215"/>
      <c r="M94" s="254"/>
    </row>
    <row r="95" spans="2:13" s="9" customFormat="1" ht="14" x14ac:dyDescent="0.15">
      <c r="C95" s="11">
        <v>87</v>
      </c>
      <c r="D95" s="17">
        <v>1.37</v>
      </c>
      <c r="E95" s="13">
        <v>1.21</v>
      </c>
      <c r="L95" s="215"/>
      <c r="M95" s="254"/>
    </row>
    <row r="96" spans="2:13" s="9" customFormat="1" ht="14" x14ac:dyDescent="0.15">
      <c r="C96" s="11">
        <v>88</v>
      </c>
      <c r="D96" s="17">
        <v>1.35</v>
      </c>
      <c r="E96" s="13">
        <v>1.1599999999999999</v>
      </c>
      <c r="L96" s="215"/>
    </row>
    <row r="97" spans="3:12" s="9" customFormat="1" ht="14" x14ac:dyDescent="0.15">
      <c r="C97" s="11">
        <v>89</v>
      </c>
      <c r="D97" s="17">
        <v>1.37</v>
      </c>
      <c r="E97" s="13">
        <v>1.33</v>
      </c>
      <c r="L97" s="215"/>
    </row>
    <row r="98" spans="3:12" s="9" customFormat="1" ht="14" x14ac:dyDescent="0.15">
      <c r="C98" s="11">
        <v>90</v>
      </c>
      <c r="D98" s="17">
        <v>1.45</v>
      </c>
      <c r="E98" s="13">
        <v>1.5</v>
      </c>
      <c r="L98" s="215"/>
    </row>
    <row r="99" spans="3:12" s="9" customFormat="1" ht="14" x14ac:dyDescent="0.15">
      <c r="C99" s="11">
        <v>91</v>
      </c>
      <c r="D99" s="17">
        <v>1.48</v>
      </c>
      <c r="E99" s="13">
        <v>1.5</v>
      </c>
    </row>
    <row r="100" spans="3:12" s="9" customFormat="1" ht="14" x14ac:dyDescent="0.15"/>
    <row r="101" spans="3:12" s="9" customFormat="1" ht="14" x14ac:dyDescent="0.15"/>
    <row r="102" spans="3:12" s="9" customFormat="1" ht="14" x14ac:dyDescent="0.15">
      <c r="D102" s="517" t="s">
        <v>298</v>
      </c>
      <c r="E102" s="519"/>
      <c r="J102" s="517" t="s">
        <v>944</v>
      </c>
      <c r="K102" s="519"/>
    </row>
    <row r="103" spans="3:12" s="9" customFormat="1" ht="14" x14ac:dyDescent="0.15">
      <c r="C103" s="209" t="s">
        <v>1012</v>
      </c>
      <c r="D103" s="308" t="s">
        <v>1026</v>
      </c>
      <c r="E103" s="308" t="s">
        <v>1027</v>
      </c>
      <c r="I103" s="209" t="s">
        <v>1012</v>
      </c>
      <c r="J103" s="308" t="s">
        <v>1013</v>
      </c>
      <c r="K103" s="308" t="s">
        <v>1014</v>
      </c>
    </row>
    <row r="104" spans="3:12" s="9" customFormat="1" ht="14" x14ac:dyDescent="0.15">
      <c r="C104" s="17" t="s">
        <v>1015</v>
      </c>
      <c r="D104" s="13">
        <f>MIN(D9:D99)</f>
        <v>1.32</v>
      </c>
      <c r="E104" s="13">
        <f>MIN(J9:J78)</f>
        <v>1.7</v>
      </c>
      <c r="I104" s="17" t="s">
        <v>1015</v>
      </c>
      <c r="J104" s="13">
        <f>MIN(E9:E99)</f>
        <v>1.02</v>
      </c>
      <c r="K104" s="13">
        <f>MIN(K9:K78)</f>
        <v>1.47</v>
      </c>
    </row>
    <row r="105" spans="3:12" s="9" customFormat="1" ht="14" x14ac:dyDescent="0.15">
      <c r="C105" s="17" t="s">
        <v>1016</v>
      </c>
      <c r="D105" s="17">
        <f>QUARTILE(D9:D99,1)</f>
        <v>1.41</v>
      </c>
      <c r="E105" s="17">
        <f>QUARTILE(J9:J78,1)</f>
        <v>1.75</v>
      </c>
      <c r="I105" s="17" t="s">
        <v>1016</v>
      </c>
      <c r="J105" s="17">
        <f>QUARTILE(E9:E99,1)</f>
        <v>1.1200000000000001</v>
      </c>
      <c r="K105" s="17">
        <f>QUARTILE(K9:K78,1)</f>
        <v>1.53</v>
      </c>
    </row>
    <row r="106" spans="3:12" s="9" customFormat="1" ht="14" x14ac:dyDescent="0.15">
      <c r="C106" s="17" t="s">
        <v>1017</v>
      </c>
      <c r="D106" s="13">
        <f>MEDIAN((D9:D99))</f>
        <v>1.47</v>
      </c>
      <c r="E106" s="13">
        <f>MEDIAN((J9:J78))</f>
        <v>1.95</v>
      </c>
      <c r="I106" s="17" t="s">
        <v>1017</v>
      </c>
      <c r="J106" s="13">
        <f>MEDIAN((E9:E99))</f>
        <v>1.25</v>
      </c>
      <c r="K106" s="13">
        <f>MEDIAN((K9:K78))</f>
        <v>1.72</v>
      </c>
    </row>
    <row r="107" spans="3:12" s="9" customFormat="1" ht="14" x14ac:dyDescent="0.15">
      <c r="C107" s="17" t="s">
        <v>1018</v>
      </c>
      <c r="D107" s="17">
        <f>QUARTILE(D9:D99,3)</f>
        <v>1.49</v>
      </c>
      <c r="E107" s="17">
        <f>QUARTILE(J9:J78,3)</f>
        <v>2.0499999999999998</v>
      </c>
      <c r="I107" s="17" t="s">
        <v>1018</v>
      </c>
      <c r="J107" s="17">
        <f>QUARTILE(E9:E99,3)</f>
        <v>1.46</v>
      </c>
      <c r="K107" s="17">
        <f>QUARTILE(K9:K78,3)</f>
        <v>1.76</v>
      </c>
    </row>
    <row r="108" spans="3:12" s="9" customFormat="1" ht="14" x14ac:dyDescent="0.15">
      <c r="C108" s="17" t="s">
        <v>1019</v>
      </c>
      <c r="D108" s="13">
        <f>MAX(D9:D99)</f>
        <v>1.54</v>
      </c>
      <c r="E108" s="13">
        <f>MAX(E9:J78)</f>
        <v>70</v>
      </c>
      <c r="I108" s="17" t="s">
        <v>1019</v>
      </c>
      <c r="J108" s="13">
        <f>MAX(E9:E99)</f>
        <v>1.51</v>
      </c>
      <c r="K108" s="13">
        <f>MAX(K9:K78)</f>
        <v>2.0163934426229506</v>
      </c>
    </row>
    <row r="109" spans="3:12" s="9" customFormat="1" ht="14" x14ac:dyDescent="0.15">
      <c r="C109" s="17"/>
      <c r="D109" s="17"/>
      <c r="E109" s="17"/>
      <c r="I109" s="17"/>
      <c r="J109" s="17"/>
      <c r="K109" s="17"/>
    </row>
    <row r="110" spans="3:12" s="9" customFormat="1" ht="14" x14ac:dyDescent="0.15">
      <c r="C110" s="17" t="s">
        <v>1020</v>
      </c>
      <c r="D110" s="13">
        <f>D105-D104</f>
        <v>8.9999999999999858E-2</v>
      </c>
      <c r="E110" s="13">
        <f>E105-E104</f>
        <v>5.0000000000000044E-2</v>
      </c>
      <c r="I110" s="17" t="s">
        <v>1020</v>
      </c>
      <c r="J110" s="13">
        <f>J105-J104</f>
        <v>0.10000000000000009</v>
      </c>
      <c r="K110" s="13">
        <f>K105-K104</f>
        <v>6.0000000000000053E-2</v>
      </c>
    </row>
    <row r="111" spans="3:12" s="9" customFormat="1" ht="14" x14ac:dyDescent="0.15">
      <c r="C111" s="17" t="s">
        <v>1016</v>
      </c>
      <c r="D111" s="17">
        <f>D105</f>
        <v>1.41</v>
      </c>
      <c r="E111" s="17">
        <f>E105</f>
        <v>1.75</v>
      </c>
      <c r="I111" s="17" t="s">
        <v>1016</v>
      </c>
      <c r="J111" s="17">
        <f>J105</f>
        <v>1.1200000000000001</v>
      </c>
      <c r="K111" s="17">
        <f>K105</f>
        <v>1.53</v>
      </c>
    </row>
    <row r="112" spans="3:12" s="9" customFormat="1" ht="14" x14ac:dyDescent="0.15">
      <c r="C112" s="17" t="s">
        <v>1021</v>
      </c>
      <c r="D112" s="13">
        <f t="shared" ref="D112:E114" si="0">D106-D105</f>
        <v>6.0000000000000053E-2</v>
      </c>
      <c r="E112" s="13">
        <f t="shared" si="0"/>
        <v>0.19999999999999996</v>
      </c>
      <c r="I112" s="17" t="s">
        <v>1021</v>
      </c>
      <c r="J112" s="13">
        <f t="shared" ref="J112:K114" si="1">J106-J105</f>
        <v>0.12999999999999989</v>
      </c>
      <c r="K112" s="13">
        <f t="shared" si="1"/>
        <v>0.18999999999999995</v>
      </c>
    </row>
    <row r="113" spans="3:11" s="9" customFormat="1" ht="14" x14ac:dyDescent="0.15">
      <c r="C113" s="17" t="s">
        <v>1022</v>
      </c>
      <c r="D113" s="13">
        <f t="shared" si="0"/>
        <v>2.0000000000000018E-2</v>
      </c>
      <c r="E113" s="13">
        <f t="shared" si="0"/>
        <v>9.9999999999999867E-2</v>
      </c>
      <c r="I113" s="17" t="s">
        <v>1022</v>
      </c>
      <c r="J113" s="13">
        <f t="shared" si="1"/>
        <v>0.20999999999999996</v>
      </c>
      <c r="K113" s="13">
        <f t="shared" si="1"/>
        <v>4.0000000000000036E-2</v>
      </c>
    </row>
    <row r="114" spans="3:11" s="9" customFormat="1" ht="14" x14ac:dyDescent="0.15">
      <c r="C114" s="17" t="s">
        <v>1023</v>
      </c>
      <c r="D114" s="13">
        <f t="shared" si="0"/>
        <v>5.0000000000000044E-2</v>
      </c>
      <c r="E114" s="13">
        <f t="shared" si="0"/>
        <v>67.95</v>
      </c>
      <c r="I114" s="17" t="s">
        <v>1023</v>
      </c>
      <c r="J114" s="13">
        <f t="shared" si="1"/>
        <v>5.0000000000000044E-2</v>
      </c>
      <c r="K114" s="13">
        <f t="shared" si="1"/>
        <v>0.25639344262295061</v>
      </c>
    </row>
    <row r="115" spans="3:11" s="9" customFormat="1" ht="14" x14ac:dyDescent="0.15"/>
    <row r="116" spans="3:11" s="9" customFormat="1" ht="14" x14ac:dyDescent="0.15"/>
    <row r="117" spans="3:11" s="9" customFormat="1" ht="14" x14ac:dyDescent="0.15">
      <c r="C117" s="206" t="s">
        <v>52</v>
      </c>
      <c r="D117" s="314"/>
      <c r="E117" s="314"/>
      <c r="I117" s="206" t="s">
        <v>52</v>
      </c>
      <c r="J117" s="314"/>
      <c r="K117" s="314"/>
    </row>
    <row r="118" spans="3:11" s="9" customFormat="1" ht="14" x14ac:dyDescent="0.15"/>
    <row r="119" spans="3:11" s="9" customFormat="1" ht="14" x14ac:dyDescent="0.15">
      <c r="C119" s="9" t="s">
        <v>298</v>
      </c>
      <c r="I119" s="9" t="s">
        <v>944</v>
      </c>
    </row>
    <row r="120" spans="3:11" s="9" customFormat="1" ht="14" x14ac:dyDescent="0.15"/>
    <row r="121" spans="3:11" s="9" customFormat="1" ht="14" x14ac:dyDescent="0.15">
      <c r="C121" s="3" t="s">
        <v>243</v>
      </c>
      <c r="D121" s="46" t="s">
        <v>1</v>
      </c>
      <c r="E121" s="46" t="s">
        <v>296</v>
      </c>
      <c r="I121" s="3" t="s">
        <v>243</v>
      </c>
      <c r="J121" s="46" t="s">
        <v>1</v>
      </c>
      <c r="K121" s="46" t="s">
        <v>296</v>
      </c>
    </row>
    <row r="122" spans="3:11" s="9" customFormat="1" ht="14" x14ac:dyDescent="0.15">
      <c r="C122" s="2" t="s">
        <v>244</v>
      </c>
      <c r="D122" s="1">
        <v>0.93110000000000004</v>
      </c>
      <c r="E122" s="1">
        <v>0.92169999999999996</v>
      </c>
      <c r="I122" s="2" t="s">
        <v>244</v>
      </c>
      <c r="J122" s="1">
        <v>0.90469999999999995</v>
      </c>
      <c r="K122" s="1">
        <v>0.9345</v>
      </c>
    </row>
    <row r="123" spans="3:11" s="9" customFormat="1" ht="14" x14ac:dyDescent="0.15">
      <c r="C123" s="2" t="s">
        <v>36</v>
      </c>
      <c r="D123" s="1">
        <v>1E-4</v>
      </c>
      <c r="E123" s="1">
        <v>2.9999999999999997E-4</v>
      </c>
      <c r="I123" s="2" t="s">
        <v>36</v>
      </c>
      <c r="J123" s="46" t="s">
        <v>176</v>
      </c>
      <c r="K123" s="46">
        <v>1.4999999999999999E-2</v>
      </c>
    </row>
    <row r="124" spans="3:11" s="9" customFormat="1" ht="14" x14ac:dyDescent="0.15">
      <c r="C124" s="2" t="s">
        <v>245</v>
      </c>
      <c r="D124" s="46" t="s">
        <v>49</v>
      </c>
      <c r="E124" s="46" t="s">
        <v>49</v>
      </c>
      <c r="I124" s="2" t="s">
        <v>245</v>
      </c>
      <c r="J124" s="46" t="s">
        <v>49</v>
      </c>
      <c r="K124" s="46" t="s">
        <v>49</v>
      </c>
    </row>
    <row r="125" spans="3:11" s="9" customFormat="1" ht="14" x14ac:dyDescent="0.15">
      <c r="C125" s="2" t="s">
        <v>37</v>
      </c>
      <c r="D125" s="46" t="s">
        <v>10</v>
      </c>
      <c r="E125" s="46" t="s">
        <v>10</v>
      </c>
      <c r="I125" s="2" t="s">
        <v>37</v>
      </c>
      <c r="J125" s="46" t="s">
        <v>10</v>
      </c>
      <c r="K125" s="46" t="s">
        <v>12</v>
      </c>
    </row>
    <row r="126" spans="3:11" s="9" customFormat="1" ht="14" x14ac:dyDescent="0.15"/>
    <row r="127" spans="3:11" s="9" customFormat="1" ht="14" x14ac:dyDescent="0.15">
      <c r="C127" s="3" t="s">
        <v>301</v>
      </c>
      <c r="E127" s="46"/>
      <c r="I127" s="3" t="s">
        <v>301</v>
      </c>
      <c r="J127" s="1"/>
    </row>
    <row r="128" spans="3:11" s="9" customFormat="1" ht="14" x14ac:dyDescent="0.15">
      <c r="C128" s="2" t="s">
        <v>36</v>
      </c>
      <c r="E128" s="46" t="s">
        <v>176</v>
      </c>
      <c r="I128" s="2" t="s">
        <v>36</v>
      </c>
      <c r="K128" s="46" t="s">
        <v>176</v>
      </c>
    </row>
    <row r="129" spans="3:11" s="9" customFormat="1" ht="14" x14ac:dyDescent="0.15">
      <c r="C129" s="2" t="s">
        <v>247</v>
      </c>
      <c r="E129" s="46" t="s">
        <v>302</v>
      </c>
      <c r="I129" s="2" t="s">
        <v>247</v>
      </c>
      <c r="K129" s="46" t="s">
        <v>302</v>
      </c>
    </row>
    <row r="130" spans="3:11" s="9" customFormat="1" ht="14" x14ac:dyDescent="0.15">
      <c r="C130" s="2" t="s">
        <v>37</v>
      </c>
      <c r="E130" s="46" t="s">
        <v>10</v>
      </c>
      <c r="I130" s="2" t="s">
        <v>37</v>
      </c>
      <c r="K130" s="46" t="s">
        <v>10</v>
      </c>
    </row>
    <row r="131" spans="3:11" s="9" customFormat="1" ht="14" x14ac:dyDescent="0.15">
      <c r="C131" s="2" t="s">
        <v>303</v>
      </c>
      <c r="E131" s="46" t="s">
        <v>41</v>
      </c>
      <c r="I131" s="2" t="s">
        <v>303</v>
      </c>
      <c r="K131" s="46" t="s">
        <v>41</v>
      </c>
    </row>
    <row r="132" spans="3:11" s="9" customFormat="1" ht="14" x14ac:dyDescent="0.15">
      <c r="C132" s="2" t="s">
        <v>304</v>
      </c>
      <c r="E132" s="46" t="s">
        <v>305</v>
      </c>
      <c r="I132" s="2" t="s">
        <v>304</v>
      </c>
      <c r="K132" s="46" t="s">
        <v>305</v>
      </c>
    </row>
    <row r="133" spans="3:11" s="9" customFormat="1" ht="14" x14ac:dyDescent="0.15">
      <c r="C133" s="2" t="s">
        <v>306</v>
      </c>
      <c r="E133" s="46" t="s">
        <v>1028</v>
      </c>
      <c r="I133" s="2" t="s">
        <v>306</v>
      </c>
      <c r="K133" s="46" t="s">
        <v>1029</v>
      </c>
    </row>
    <row r="134" spans="3:11" s="9" customFormat="1" ht="14" x14ac:dyDescent="0.15">
      <c r="C134" s="2" t="s">
        <v>308</v>
      </c>
      <c r="E134" s="46">
        <v>0</v>
      </c>
      <c r="I134" s="2" t="s">
        <v>308</v>
      </c>
      <c r="K134" s="46">
        <v>69.5</v>
      </c>
    </row>
    <row r="135" spans="3:11" s="9" customFormat="1" ht="14" x14ac:dyDescent="0.15"/>
    <row r="136" spans="3:11" s="9" customFormat="1" ht="14" x14ac:dyDescent="0.15"/>
    <row r="137" spans="3:11" s="9" customFormat="1" ht="14" x14ac:dyDescent="0.15"/>
    <row r="138" spans="3:11" s="9" customFormat="1" ht="14" x14ac:dyDescent="0.15"/>
    <row r="139" spans="3:11" s="9" customFormat="1" ht="14" x14ac:dyDescent="0.15"/>
    <row r="140" spans="3:11" s="9" customFormat="1" ht="14" x14ac:dyDescent="0.15"/>
    <row r="141" spans="3:11" s="9" customFormat="1" ht="14" x14ac:dyDescent="0.15"/>
    <row r="142" spans="3:11" s="9" customFormat="1" ht="14" x14ac:dyDescent="0.15"/>
    <row r="143" spans="3:11" s="9" customFormat="1" ht="14" x14ac:dyDescent="0.15"/>
    <row r="144" spans="3:11" s="9" customFormat="1" ht="14" x14ac:dyDescent="0.15"/>
    <row r="145" s="9" customFormat="1" ht="14" x14ac:dyDescent="0.15"/>
    <row r="146" s="9" customFormat="1" ht="14" x14ac:dyDescent="0.15"/>
    <row r="147" s="9" customFormat="1" ht="14" x14ac:dyDescent="0.15"/>
    <row r="148" s="9" customFormat="1" ht="14" x14ac:dyDescent="0.15"/>
    <row r="149" s="9" customFormat="1" ht="14" x14ac:dyDescent="0.15"/>
    <row r="150" s="9" customFormat="1" ht="14" x14ac:dyDescent="0.15"/>
    <row r="151" s="9" customFormat="1" ht="14" x14ac:dyDescent="0.15"/>
    <row r="152" s="9" customFormat="1" ht="14" x14ac:dyDescent="0.15"/>
    <row r="153" s="9" customFormat="1" ht="14" x14ac:dyDescent="0.15"/>
    <row r="154" s="9" customFormat="1" ht="14" x14ac:dyDescent="0.15"/>
    <row r="155" s="9" customFormat="1" ht="14" x14ac:dyDescent="0.15"/>
    <row r="156" s="9" customFormat="1" ht="14" x14ac:dyDescent="0.15"/>
    <row r="157" s="9" customFormat="1" ht="14" x14ac:dyDescent="0.15"/>
    <row r="158" s="9" customFormat="1" ht="14" x14ac:dyDescent="0.15"/>
    <row r="159" s="9" customFormat="1" ht="14" x14ac:dyDescent="0.15"/>
    <row r="160" s="9" customFormat="1" ht="14" x14ac:dyDescent="0.15"/>
    <row r="161" s="9" customFormat="1" ht="14" x14ac:dyDescent="0.15"/>
    <row r="162" s="9" customFormat="1" ht="14" x14ac:dyDescent="0.15"/>
    <row r="163" s="9" customFormat="1" ht="14" x14ac:dyDescent="0.15"/>
    <row r="164" s="9" customFormat="1" ht="14" x14ac:dyDescent="0.15"/>
    <row r="165" s="9" customFormat="1" ht="14" x14ac:dyDescent="0.15"/>
    <row r="166" s="9" customFormat="1" ht="14" x14ac:dyDescent="0.15"/>
    <row r="167" s="9" customFormat="1" ht="14" x14ac:dyDescent="0.15"/>
    <row r="168" s="9" customFormat="1" ht="14" x14ac:dyDescent="0.15"/>
    <row r="169" s="9" customFormat="1" ht="14" x14ac:dyDescent="0.15"/>
    <row r="170" s="9" customFormat="1" ht="14" x14ac:dyDescent="0.15"/>
    <row r="171" s="9" customFormat="1" ht="14" x14ac:dyDescent="0.15"/>
    <row r="172" s="9" customFormat="1" ht="14" x14ac:dyDescent="0.15"/>
    <row r="173" s="9" customFormat="1" ht="14" x14ac:dyDescent="0.15"/>
    <row r="174" s="9" customFormat="1" ht="14" x14ac:dyDescent="0.15"/>
    <row r="175" s="9" customFormat="1" ht="14" x14ac:dyDescent="0.15"/>
    <row r="176" s="9" customFormat="1" ht="14" x14ac:dyDescent="0.15"/>
    <row r="177" s="9" customFormat="1" ht="14" x14ac:dyDescent="0.15"/>
    <row r="178" s="9" customFormat="1" ht="14" x14ac:dyDescent="0.15"/>
    <row r="179" s="9" customFormat="1" ht="14" x14ac:dyDescent="0.15"/>
    <row r="180" s="9" customFormat="1" ht="14" x14ac:dyDescent="0.15"/>
    <row r="181" s="9" customFormat="1" ht="14" x14ac:dyDescent="0.15"/>
    <row r="182" s="9" customFormat="1" ht="14" x14ac:dyDescent="0.15"/>
    <row r="183" s="9" customFormat="1" ht="14" x14ac:dyDescent="0.15"/>
    <row r="184" s="9" customFormat="1" ht="14" x14ac:dyDescent="0.15"/>
    <row r="185" s="9" customFormat="1" ht="14" x14ac:dyDescent="0.15"/>
    <row r="186" s="9" customFormat="1" ht="14" x14ac:dyDescent="0.15"/>
    <row r="187" s="9" customFormat="1" ht="14" x14ac:dyDescent="0.15"/>
    <row r="188" s="9" customFormat="1" ht="14" x14ac:dyDescent="0.15"/>
    <row r="189" s="9" customFormat="1" ht="14" x14ac:dyDescent="0.15"/>
    <row r="190" s="9" customFormat="1" ht="14" x14ac:dyDescent="0.15"/>
    <row r="191" s="9" customFormat="1" ht="14" x14ac:dyDescent="0.15"/>
    <row r="192" s="9" customFormat="1" ht="14" x14ac:dyDescent="0.15"/>
    <row r="193" s="9" customFormat="1" ht="14" x14ac:dyDescent="0.15"/>
    <row r="194" s="9" customFormat="1" ht="14" x14ac:dyDescent="0.15"/>
    <row r="195" s="9" customFormat="1" ht="14" x14ac:dyDescent="0.15"/>
    <row r="196" s="9" customFormat="1" ht="14" x14ac:dyDescent="0.15"/>
    <row r="197" s="9" customFormat="1" ht="14" x14ac:dyDescent="0.15"/>
    <row r="198" s="9" customFormat="1" ht="14" x14ac:dyDescent="0.15"/>
  </sheetData>
  <mergeCells count="4">
    <mergeCell ref="D6:E6"/>
    <mergeCell ref="J6:K6"/>
    <mergeCell ref="D102:E102"/>
    <mergeCell ref="J102:K102"/>
  </mergeCells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C92"/>
  <sheetViews>
    <sheetView topLeftCell="C1" zoomScale="77" zoomScaleNormal="77" zoomScalePageLayoutView="77" workbookViewId="0">
      <selection activeCell="R78" sqref="R78"/>
    </sheetView>
  </sheetViews>
  <sheetFormatPr baseColWidth="10" defaultRowHeight="16" x14ac:dyDescent="0.2"/>
  <cols>
    <col min="1" max="1" width="21.1640625" customWidth="1"/>
    <col min="2" max="2" width="14.33203125" customWidth="1"/>
    <col min="3" max="3" width="24" bestFit="1" customWidth="1"/>
    <col min="4" max="4" width="19.33203125" customWidth="1"/>
    <col min="5" max="5" width="22.1640625" customWidth="1"/>
    <col min="10" max="10" width="21.83203125" customWidth="1"/>
    <col min="11" max="11" width="15.6640625" bestFit="1" customWidth="1"/>
    <col min="12" max="12" width="22" customWidth="1"/>
    <col min="17" max="17" width="21.83203125" customWidth="1"/>
    <col min="18" max="18" width="14.5" customWidth="1"/>
    <col min="19" max="20" width="19.1640625" customWidth="1"/>
    <col min="21" max="21" width="18.83203125" customWidth="1"/>
    <col min="22" max="22" width="14.83203125" customWidth="1"/>
    <col min="25" max="25" width="14.83203125" customWidth="1"/>
    <col min="26" max="27" width="14.6640625" customWidth="1"/>
    <col min="28" max="28" width="15" customWidth="1"/>
  </cols>
  <sheetData>
    <row r="1" spans="1:29" x14ac:dyDescent="0.2">
      <c r="A1" s="9"/>
      <c r="B1" s="9"/>
      <c r="C1" s="9"/>
      <c r="D1" s="9"/>
      <c r="E1" s="9"/>
    </row>
    <row r="2" spans="1:29" ht="18" x14ac:dyDescent="0.2">
      <c r="A2" s="53" t="s">
        <v>720</v>
      </c>
      <c r="B2" s="53"/>
      <c r="C2" s="9"/>
      <c r="D2" s="9"/>
      <c r="E2" s="9"/>
    </row>
    <row r="3" spans="1:29" x14ac:dyDescent="0.2">
      <c r="A3" s="9"/>
      <c r="B3" s="9"/>
      <c r="C3" s="9"/>
      <c r="D3" s="9"/>
      <c r="E3" s="9"/>
    </row>
    <row r="4" spans="1:29" ht="18" x14ac:dyDescent="0.2">
      <c r="A4" s="14" t="s">
        <v>1039</v>
      </c>
      <c r="B4" s="14"/>
      <c r="C4" s="14"/>
      <c r="D4" s="14"/>
      <c r="E4" s="9"/>
    </row>
    <row r="5" spans="1:29" ht="19" x14ac:dyDescent="0.25">
      <c r="A5" s="219"/>
      <c r="B5" s="9"/>
      <c r="C5" s="9"/>
      <c r="D5" s="9"/>
      <c r="E5" s="9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</row>
    <row r="6" spans="1:29" ht="19" x14ac:dyDescent="0.25">
      <c r="A6" s="219"/>
      <c r="B6" s="52" t="s">
        <v>658</v>
      </c>
      <c r="C6" s="9"/>
      <c r="D6" s="9"/>
      <c r="E6" s="9"/>
      <c r="P6" s="78"/>
      <c r="R6" s="52" t="s">
        <v>662</v>
      </c>
      <c r="S6" s="9"/>
      <c r="T6" s="9"/>
      <c r="U6" s="9"/>
      <c r="V6" s="9"/>
      <c r="AC6" s="78"/>
    </row>
    <row r="7" spans="1:29" x14ac:dyDescent="0.2">
      <c r="A7" s="9"/>
      <c r="B7" s="9"/>
      <c r="C7" s="9"/>
      <c r="D7" s="9"/>
      <c r="E7" s="9"/>
      <c r="P7" s="78"/>
      <c r="R7" s="9"/>
      <c r="S7" s="9"/>
      <c r="T7" s="9"/>
      <c r="U7" s="9"/>
      <c r="V7" s="9"/>
      <c r="AC7" s="78"/>
    </row>
    <row r="8" spans="1:29" x14ac:dyDescent="0.2">
      <c r="A8" s="9"/>
      <c r="B8" s="9" t="s">
        <v>179</v>
      </c>
      <c r="C8" s="9"/>
      <c r="D8" s="9"/>
      <c r="E8" s="9"/>
      <c r="I8" s="9" t="s">
        <v>180</v>
      </c>
      <c r="P8" s="78"/>
      <c r="R8" s="9" t="s">
        <v>179</v>
      </c>
      <c r="S8" s="9"/>
      <c r="T8" s="9"/>
      <c r="U8" s="9"/>
      <c r="V8" s="9"/>
      <c r="Y8" s="9" t="s">
        <v>180</v>
      </c>
      <c r="AC8" s="78"/>
    </row>
    <row r="9" spans="1:29" x14ac:dyDescent="0.2">
      <c r="A9" s="9"/>
      <c r="B9" s="9"/>
      <c r="C9" s="9"/>
      <c r="D9" s="9"/>
      <c r="E9" s="9"/>
      <c r="P9" s="78"/>
      <c r="R9" s="9"/>
      <c r="S9" s="9"/>
      <c r="T9" s="9"/>
      <c r="U9" s="9"/>
      <c r="V9" s="9"/>
      <c r="AC9" s="78"/>
    </row>
    <row r="10" spans="1:29" x14ac:dyDescent="0.2">
      <c r="A10" s="9"/>
      <c r="B10" s="9"/>
      <c r="C10" s="9"/>
      <c r="D10" s="9"/>
      <c r="E10" s="68"/>
      <c r="P10" s="78"/>
      <c r="R10" s="9"/>
      <c r="S10" s="9"/>
      <c r="T10" s="9"/>
      <c r="U10" s="68"/>
      <c r="V10" s="68"/>
      <c r="AC10" s="78"/>
    </row>
    <row r="11" spans="1:29" x14ac:dyDescent="0.2">
      <c r="C11" s="524" t="s">
        <v>1</v>
      </c>
      <c r="D11" s="524"/>
      <c r="E11" s="78"/>
      <c r="J11" s="524" t="s">
        <v>1</v>
      </c>
      <c r="K11" s="524"/>
      <c r="L11" s="524"/>
      <c r="P11" s="78"/>
      <c r="S11" s="524" t="s">
        <v>1</v>
      </c>
      <c r="T11" s="524"/>
      <c r="U11" s="78"/>
      <c r="V11" s="78"/>
      <c r="Z11" s="524" t="s">
        <v>1</v>
      </c>
      <c r="AA11" s="524"/>
      <c r="AB11" s="524"/>
      <c r="AC11" s="78"/>
    </row>
    <row r="12" spans="1:29" x14ac:dyDescent="0.2">
      <c r="B12" s="59" t="s">
        <v>658</v>
      </c>
      <c r="C12" s="227" t="s">
        <v>714</v>
      </c>
      <c r="D12" s="227" t="s">
        <v>715</v>
      </c>
      <c r="E12" s="220"/>
      <c r="F12" s="110"/>
      <c r="G12" s="110"/>
      <c r="I12" s="59" t="s">
        <v>658</v>
      </c>
      <c r="J12" s="227" t="s">
        <v>716</v>
      </c>
      <c r="K12" s="228" t="s">
        <v>717</v>
      </c>
      <c r="L12" s="60" t="s">
        <v>336</v>
      </c>
      <c r="M12" s="66"/>
      <c r="N12" s="66"/>
      <c r="P12" s="78"/>
      <c r="R12" s="59" t="s">
        <v>662</v>
      </c>
      <c r="S12" s="227" t="s">
        <v>714</v>
      </c>
      <c r="T12" s="227" t="s">
        <v>715</v>
      </c>
      <c r="U12" s="220"/>
      <c r="V12" s="220"/>
      <c r="W12" s="110"/>
      <c r="Y12" s="59" t="s">
        <v>662</v>
      </c>
      <c r="Z12" s="227" t="s">
        <v>716</v>
      </c>
      <c r="AA12" s="228" t="s">
        <v>717</v>
      </c>
      <c r="AB12" s="60" t="s">
        <v>336</v>
      </c>
      <c r="AC12" s="78"/>
    </row>
    <row r="13" spans="1:29" x14ac:dyDescent="0.2">
      <c r="B13" s="449" t="s">
        <v>32</v>
      </c>
      <c r="C13" s="72">
        <f>J13/L13*100</f>
        <v>2.7027027027027026</v>
      </c>
      <c r="D13" s="72">
        <f>K13/L13*100</f>
        <v>0</v>
      </c>
      <c r="E13" s="64"/>
      <c r="F13" s="64"/>
      <c r="G13" s="64"/>
      <c r="I13" s="449" t="s">
        <v>32</v>
      </c>
      <c r="J13" s="5">
        <v>1</v>
      </c>
      <c r="K13" s="5">
        <v>0</v>
      </c>
      <c r="L13" s="5">
        <v>37</v>
      </c>
      <c r="M13" s="66"/>
      <c r="N13" s="66"/>
      <c r="P13" s="78"/>
      <c r="R13" s="449" t="s">
        <v>32</v>
      </c>
      <c r="S13" s="74">
        <f>Z13/AB13*100</f>
        <v>16</v>
      </c>
      <c r="T13" s="74">
        <f>AA13/AB13*100</f>
        <v>0</v>
      </c>
      <c r="U13" s="64"/>
      <c r="V13" s="64"/>
      <c r="W13" s="64"/>
      <c r="Y13" s="449" t="s">
        <v>32</v>
      </c>
      <c r="Z13" s="62">
        <v>12</v>
      </c>
      <c r="AA13" s="230">
        <v>0</v>
      </c>
      <c r="AB13" s="182">
        <v>75</v>
      </c>
      <c r="AC13" s="78"/>
    </row>
    <row r="14" spans="1:29" x14ac:dyDescent="0.2">
      <c r="B14" s="449" t="s">
        <v>33</v>
      </c>
      <c r="C14" s="72">
        <f t="shared" ref="C14:C19" si="0">J14/L14*100</f>
        <v>3.5714285714285712</v>
      </c>
      <c r="D14" s="72">
        <f t="shared" ref="D14:D20" si="1">K14/L14*100</f>
        <v>3.5714285714285712</v>
      </c>
      <c r="E14" s="64"/>
      <c r="F14" s="64"/>
      <c r="G14" s="64"/>
      <c r="I14" s="449" t="s">
        <v>33</v>
      </c>
      <c r="J14" s="5">
        <v>1</v>
      </c>
      <c r="K14" s="5">
        <v>1</v>
      </c>
      <c r="L14" s="5">
        <v>28</v>
      </c>
      <c r="M14" s="66"/>
      <c r="N14" s="66"/>
      <c r="P14" s="78"/>
      <c r="R14" s="449" t="s">
        <v>33</v>
      </c>
      <c r="S14" s="74">
        <f t="shared" ref="S14:S19" si="2">Z14/AB14*100</f>
        <v>23.376623376623375</v>
      </c>
      <c r="T14" s="74">
        <f t="shared" ref="T14:T19" si="3">AA14/AB14*100</f>
        <v>2.5974025974025974</v>
      </c>
      <c r="U14" s="64"/>
      <c r="V14" s="64"/>
      <c r="W14" s="64"/>
      <c r="Y14" s="449" t="s">
        <v>33</v>
      </c>
      <c r="Z14" s="62">
        <v>18</v>
      </c>
      <c r="AA14" s="230">
        <v>2</v>
      </c>
      <c r="AB14" s="182">
        <v>77</v>
      </c>
      <c r="AC14" s="78"/>
    </row>
    <row r="15" spans="1:29" x14ac:dyDescent="0.2">
      <c r="B15" s="449" t="s">
        <v>34</v>
      </c>
      <c r="C15" s="72">
        <f t="shared" si="0"/>
        <v>10</v>
      </c>
      <c r="D15" s="72">
        <f t="shared" si="1"/>
        <v>10</v>
      </c>
      <c r="E15" s="64"/>
      <c r="F15" s="64"/>
      <c r="G15" s="64"/>
      <c r="I15" s="449" t="s">
        <v>34</v>
      </c>
      <c r="J15" s="5">
        <v>3</v>
      </c>
      <c r="K15" s="5">
        <v>3</v>
      </c>
      <c r="L15" s="5">
        <v>30</v>
      </c>
      <c r="M15" s="66"/>
      <c r="N15" s="66"/>
      <c r="P15" s="78"/>
      <c r="R15" s="449" t="s">
        <v>34</v>
      </c>
      <c r="S15" s="74">
        <f t="shared" si="2"/>
        <v>1.4492753623188406</v>
      </c>
      <c r="T15" s="74">
        <f t="shared" si="3"/>
        <v>2.8985507246376812</v>
      </c>
      <c r="U15" s="64"/>
      <c r="V15" s="64"/>
      <c r="W15" s="64"/>
      <c r="Y15" s="449" t="s">
        <v>34</v>
      </c>
      <c r="Z15" s="62">
        <v>1</v>
      </c>
      <c r="AA15" s="230">
        <v>2</v>
      </c>
      <c r="AB15" s="182">
        <v>69</v>
      </c>
      <c r="AC15" s="78"/>
    </row>
    <row r="16" spans="1:29" x14ac:dyDescent="0.2">
      <c r="B16" s="449" t="s">
        <v>35</v>
      </c>
      <c r="C16" s="72">
        <f t="shared" si="0"/>
        <v>36</v>
      </c>
      <c r="D16" s="72">
        <f t="shared" si="1"/>
        <v>0</v>
      </c>
      <c r="E16" s="64"/>
      <c r="I16" s="449" t="s">
        <v>35</v>
      </c>
      <c r="J16" s="5">
        <v>9</v>
      </c>
      <c r="K16" s="5">
        <v>0</v>
      </c>
      <c r="L16" s="5">
        <v>25</v>
      </c>
      <c r="P16" s="78"/>
      <c r="R16" s="449" t="s">
        <v>35</v>
      </c>
      <c r="S16" s="74">
        <f t="shared" si="2"/>
        <v>8.8607594936708853</v>
      </c>
      <c r="T16" s="74">
        <f t="shared" si="3"/>
        <v>2.5316455696202533</v>
      </c>
      <c r="U16" s="64"/>
      <c r="V16" s="64"/>
      <c r="Y16" s="449" t="s">
        <v>35</v>
      </c>
      <c r="Z16" s="62">
        <v>7</v>
      </c>
      <c r="AA16" s="230">
        <v>2</v>
      </c>
      <c r="AB16" s="182">
        <v>79</v>
      </c>
      <c r="AC16" s="78"/>
    </row>
    <row r="17" spans="1:29" x14ac:dyDescent="0.2">
      <c r="B17" s="449" t="s">
        <v>81</v>
      </c>
      <c r="C17" s="72">
        <f t="shared" si="0"/>
        <v>12.195121951219512</v>
      </c>
      <c r="D17" s="72">
        <f t="shared" si="1"/>
        <v>0</v>
      </c>
      <c r="E17" s="64"/>
      <c r="I17" s="449" t="s">
        <v>81</v>
      </c>
      <c r="J17" s="17">
        <v>5</v>
      </c>
      <c r="K17" s="17">
        <v>0</v>
      </c>
      <c r="L17" s="17">
        <v>41</v>
      </c>
      <c r="P17" s="78"/>
      <c r="R17" s="449" t="s">
        <v>81</v>
      </c>
      <c r="S17" s="74">
        <f t="shared" si="2"/>
        <v>8.695652173913043</v>
      </c>
      <c r="T17" s="74">
        <f t="shared" si="3"/>
        <v>4.3478260869565215</v>
      </c>
      <c r="U17" s="64"/>
      <c r="V17" s="64"/>
      <c r="Y17" s="449" t="s">
        <v>81</v>
      </c>
      <c r="Z17" s="62">
        <v>8</v>
      </c>
      <c r="AA17" s="230">
        <v>4</v>
      </c>
      <c r="AB17" s="94">
        <v>92</v>
      </c>
      <c r="AC17" s="78"/>
    </row>
    <row r="18" spans="1:29" x14ac:dyDescent="0.2">
      <c r="B18" s="449" t="s">
        <v>169</v>
      </c>
      <c r="C18" s="72">
        <f t="shared" si="0"/>
        <v>10</v>
      </c>
      <c r="D18" s="72">
        <f t="shared" si="1"/>
        <v>0</v>
      </c>
      <c r="E18" s="64"/>
      <c r="I18" s="449" t="s">
        <v>169</v>
      </c>
      <c r="J18" s="17">
        <v>1</v>
      </c>
      <c r="K18" s="17">
        <v>0</v>
      </c>
      <c r="L18" s="17">
        <v>10</v>
      </c>
      <c r="P18" s="78"/>
      <c r="R18" s="449" t="s">
        <v>169</v>
      </c>
      <c r="S18" s="74">
        <f t="shared" si="2"/>
        <v>1.5384615384615385</v>
      </c>
      <c r="T18" s="74">
        <f t="shared" si="3"/>
        <v>0</v>
      </c>
      <c r="U18" s="64"/>
      <c r="V18" s="64"/>
      <c r="Y18" s="449" t="s">
        <v>169</v>
      </c>
      <c r="Z18" s="62">
        <v>1</v>
      </c>
      <c r="AA18" s="230">
        <v>0</v>
      </c>
      <c r="AB18" s="231">
        <v>65</v>
      </c>
      <c r="AC18" s="78"/>
    </row>
    <row r="19" spans="1:29" x14ac:dyDescent="0.2">
      <c r="B19" s="449" t="s">
        <v>170</v>
      </c>
      <c r="C19" s="72">
        <f t="shared" si="0"/>
        <v>6.666666666666667</v>
      </c>
      <c r="D19" s="72">
        <f t="shared" si="1"/>
        <v>3.3333333333333335</v>
      </c>
      <c r="E19" s="64"/>
      <c r="I19" s="449" t="s">
        <v>170</v>
      </c>
      <c r="J19" s="17">
        <v>2</v>
      </c>
      <c r="K19" s="17">
        <v>1</v>
      </c>
      <c r="L19" s="17">
        <v>30</v>
      </c>
      <c r="P19" s="78"/>
      <c r="R19" s="449" t="s">
        <v>170</v>
      </c>
      <c r="S19" s="74">
        <f t="shared" si="2"/>
        <v>11.688311688311687</v>
      </c>
      <c r="T19" s="74">
        <f t="shared" si="3"/>
        <v>2.5974025974025974</v>
      </c>
      <c r="U19" s="64"/>
      <c r="V19" s="64"/>
      <c r="Y19" s="449" t="s">
        <v>170</v>
      </c>
      <c r="Z19" s="62">
        <v>9</v>
      </c>
      <c r="AA19" s="230">
        <v>2</v>
      </c>
      <c r="AB19" s="94">
        <v>77</v>
      </c>
      <c r="AC19" s="78"/>
    </row>
    <row r="20" spans="1:29" x14ac:dyDescent="0.2">
      <c r="B20" s="449" t="s">
        <v>171</v>
      </c>
      <c r="C20" s="72">
        <f>J20/L20*100</f>
        <v>4</v>
      </c>
      <c r="D20" s="72">
        <f t="shared" si="1"/>
        <v>0</v>
      </c>
      <c r="E20" s="224"/>
      <c r="F20" s="225"/>
      <c r="G20" s="225"/>
      <c r="I20" s="449" t="s">
        <v>171</v>
      </c>
      <c r="J20" s="17">
        <v>1</v>
      </c>
      <c r="K20" s="17">
        <v>0</v>
      </c>
      <c r="L20" s="17">
        <v>25</v>
      </c>
      <c r="P20" s="78"/>
      <c r="S20" s="225"/>
      <c r="T20" s="225"/>
      <c r="U20" s="224"/>
      <c r="V20" s="224"/>
      <c r="W20" s="225"/>
      <c r="Z20" s="225"/>
      <c r="AA20" s="225"/>
      <c r="AB20" s="95"/>
      <c r="AC20" s="78"/>
    </row>
    <row r="21" spans="1:29" x14ac:dyDescent="0.2">
      <c r="E21" s="78"/>
      <c r="P21" s="78"/>
      <c r="S21" s="95"/>
      <c r="T21" s="95"/>
      <c r="U21" s="78"/>
      <c r="V21" s="78"/>
      <c r="Z21" s="95"/>
      <c r="AA21" s="95"/>
      <c r="AB21" s="95"/>
      <c r="AC21" s="78"/>
    </row>
    <row r="22" spans="1:29" x14ac:dyDescent="0.2">
      <c r="C22" s="525" t="s">
        <v>2</v>
      </c>
      <c r="D22" s="525"/>
      <c r="E22" s="78"/>
      <c r="I22" s="63"/>
      <c r="J22" s="524" t="s">
        <v>2</v>
      </c>
      <c r="K22" s="524"/>
      <c r="L22" s="524"/>
      <c r="P22" s="78"/>
      <c r="S22" s="525" t="s">
        <v>2</v>
      </c>
      <c r="T22" s="525"/>
      <c r="U22" s="78"/>
      <c r="V22" s="78"/>
      <c r="Y22" s="63"/>
      <c r="Z22" s="524" t="s">
        <v>2</v>
      </c>
      <c r="AA22" s="524"/>
      <c r="AB22" s="524"/>
      <c r="AC22" s="78"/>
    </row>
    <row r="23" spans="1:29" x14ac:dyDescent="0.2">
      <c r="B23" s="59" t="s">
        <v>658</v>
      </c>
      <c r="C23" s="221" t="s">
        <v>714</v>
      </c>
      <c r="D23" s="221" t="s">
        <v>715</v>
      </c>
      <c r="E23" s="220"/>
      <c r="F23" s="110"/>
      <c r="G23" s="110"/>
      <c r="I23" s="59" t="s">
        <v>658</v>
      </c>
      <c r="J23" s="227" t="s">
        <v>716</v>
      </c>
      <c r="K23" s="228" t="s">
        <v>717</v>
      </c>
      <c r="L23" s="60" t="s">
        <v>336</v>
      </c>
      <c r="P23" s="78"/>
      <c r="R23" s="59" t="s">
        <v>662</v>
      </c>
      <c r="S23" s="227" t="s">
        <v>714</v>
      </c>
      <c r="T23" s="227" t="s">
        <v>715</v>
      </c>
      <c r="U23" s="220"/>
      <c r="V23" s="220"/>
      <c r="W23" s="110"/>
      <c r="Y23" s="59" t="s">
        <v>662</v>
      </c>
      <c r="Z23" s="227" t="s">
        <v>716</v>
      </c>
      <c r="AA23" s="228" t="s">
        <v>717</v>
      </c>
      <c r="AB23" s="60" t="s">
        <v>336</v>
      </c>
      <c r="AC23" s="78"/>
    </row>
    <row r="24" spans="1:29" x14ac:dyDescent="0.2">
      <c r="B24" s="449" t="s">
        <v>32</v>
      </c>
      <c r="C24" s="72">
        <f>J24/L24*100</f>
        <v>22.222222222222221</v>
      </c>
      <c r="D24" s="72">
        <f>K24/L24*100</f>
        <v>5.5555555555555554</v>
      </c>
      <c r="E24" s="64"/>
      <c r="F24" s="64"/>
      <c r="G24" s="64"/>
      <c r="I24" s="449" t="s">
        <v>32</v>
      </c>
      <c r="J24" s="17">
        <v>16</v>
      </c>
      <c r="K24" s="17">
        <v>4</v>
      </c>
      <c r="L24" s="17">
        <v>72</v>
      </c>
      <c r="P24" s="78"/>
      <c r="R24" s="449" t="s">
        <v>32</v>
      </c>
      <c r="S24" s="74">
        <f>Z24/AB24*100</f>
        <v>29.09090909090909</v>
      </c>
      <c r="T24" s="74">
        <f>AA24/AB24*100</f>
        <v>16.969696969696972</v>
      </c>
      <c r="U24" s="64"/>
      <c r="V24" s="64"/>
      <c r="W24" s="64"/>
      <c r="Y24" s="449" t="s">
        <v>32</v>
      </c>
      <c r="Z24" s="62">
        <v>48</v>
      </c>
      <c r="AA24" s="230">
        <v>28</v>
      </c>
      <c r="AB24" s="62">
        <v>165</v>
      </c>
      <c r="AC24" s="78"/>
    </row>
    <row r="25" spans="1:29" x14ac:dyDescent="0.2">
      <c r="B25" s="449" t="s">
        <v>33</v>
      </c>
      <c r="C25" s="72">
        <f>J25/L25*100</f>
        <v>38.461538461538467</v>
      </c>
      <c r="D25" s="72">
        <f>K25/L25*100</f>
        <v>3.8461538461538463</v>
      </c>
      <c r="E25" s="64"/>
      <c r="F25" s="64"/>
      <c r="G25" s="64"/>
      <c r="I25" s="449" t="s">
        <v>33</v>
      </c>
      <c r="J25" s="5">
        <v>10</v>
      </c>
      <c r="K25" s="17">
        <v>1</v>
      </c>
      <c r="L25" s="17">
        <v>26</v>
      </c>
      <c r="P25" s="78"/>
      <c r="R25" s="449" t="s">
        <v>33</v>
      </c>
      <c r="S25" s="74">
        <f t="shared" ref="S25:S26" si="4">Z25/AB25*100</f>
        <v>46.258503401360542</v>
      </c>
      <c r="T25" s="74">
        <f t="shared" ref="T25:T26" si="5">AA25/AB25*100</f>
        <v>24.489795918367346</v>
      </c>
      <c r="U25" s="64"/>
      <c r="V25" s="64"/>
      <c r="W25" s="64"/>
      <c r="Y25" s="449" t="s">
        <v>33</v>
      </c>
      <c r="Z25" s="62">
        <v>68</v>
      </c>
      <c r="AA25" s="230">
        <v>36</v>
      </c>
      <c r="AB25" s="62">
        <v>147</v>
      </c>
      <c r="AC25" s="78"/>
    </row>
    <row r="26" spans="1:29" x14ac:dyDescent="0.2">
      <c r="B26" s="449" t="s">
        <v>34</v>
      </c>
      <c r="C26" s="72">
        <f>J26/L26*100</f>
        <v>38.636363636363633</v>
      </c>
      <c r="D26" s="72">
        <f>K26/L26*100</f>
        <v>20.454545454545457</v>
      </c>
      <c r="E26" s="64"/>
      <c r="F26" s="64"/>
      <c r="G26" s="64"/>
      <c r="I26" s="449" t="s">
        <v>34</v>
      </c>
      <c r="J26" s="17">
        <v>17</v>
      </c>
      <c r="K26" s="17">
        <v>9</v>
      </c>
      <c r="L26" s="17">
        <v>44</v>
      </c>
      <c r="P26" s="78"/>
      <c r="R26" s="449" t="s">
        <v>34</v>
      </c>
      <c r="S26" s="74">
        <f t="shared" si="4"/>
        <v>37.908496732026144</v>
      </c>
      <c r="T26" s="74">
        <f t="shared" si="5"/>
        <v>9.8039215686274517</v>
      </c>
      <c r="U26" s="64"/>
      <c r="V26" s="64"/>
      <c r="W26" s="64"/>
      <c r="Y26" s="449" t="s">
        <v>34</v>
      </c>
      <c r="Z26" s="62">
        <v>58</v>
      </c>
      <c r="AA26" s="62">
        <v>15</v>
      </c>
      <c r="AB26" s="62">
        <v>153</v>
      </c>
      <c r="AC26" s="78"/>
    </row>
    <row r="27" spans="1:29" x14ac:dyDescent="0.2">
      <c r="A27" s="58"/>
      <c r="B27" s="449" t="s">
        <v>35</v>
      </c>
      <c r="C27" s="72">
        <f>J27/L27*100</f>
        <v>50</v>
      </c>
      <c r="D27" s="72">
        <f>K27/L27*100</f>
        <v>1.3888888888888888</v>
      </c>
      <c r="E27" s="64"/>
      <c r="H27" s="78"/>
      <c r="I27" s="449" t="s">
        <v>35</v>
      </c>
      <c r="J27" s="17">
        <v>36</v>
      </c>
      <c r="K27" s="17">
        <v>1</v>
      </c>
      <c r="L27" s="17">
        <v>72</v>
      </c>
      <c r="M27" s="78"/>
      <c r="N27" s="78"/>
      <c r="P27" s="78"/>
      <c r="R27" s="63"/>
      <c r="S27" s="229"/>
      <c r="T27" s="95"/>
      <c r="U27" s="64"/>
      <c r="V27" s="64"/>
      <c r="X27" s="78"/>
      <c r="Y27" s="63"/>
      <c r="Z27" s="65"/>
      <c r="AA27" s="65"/>
      <c r="AB27" s="232"/>
      <c r="AC27" s="78"/>
    </row>
    <row r="28" spans="1:29" x14ac:dyDescent="0.2">
      <c r="A28" s="58"/>
      <c r="B28" s="63"/>
      <c r="C28" s="58"/>
      <c r="E28" s="64"/>
      <c r="H28" s="78"/>
      <c r="I28" s="63"/>
      <c r="J28" s="64"/>
      <c r="K28" s="64"/>
      <c r="L28" s="68"/>
      <c r="M28" s="78"/>
      <c r="N28" s="78"/>
      <c r="P28" s="78"/>
      <c r="R28" s="63"/>
      <c r="S28" s="229"/>
      <c r="T28" s="95"/>
      <c r="U28" s="64"/>
      <c r="V28" s="64"/>
      <c r="X28" s="78"/>
      <c r="Y28" s="63"/>
      <c r="Z28" s="65"/>
      <c r="AA28" s="65"/>
      <c r="AB28" s="232"/>
      <c r="AC28" s="78"/>
    </row>
    <row r="29" spans="1:29" x14ac:dyDescent="0.2">
      <c r="A29" s="58"/>
      <c r="B29" s="63"/>
      <c r="C29" s="525" t="s">
        <v>3</v>
      </c>
      <c r="D29" s="525"/>
      <c r="E29" s="64"/>
      <c r="H29" s="78"/>
      <c r="I29" s="63"/>
      <c r="J29" s="524" t="s">
        <v>3</v>
      </c>
      <c r="K29" s="524"/>
      <c r="L29" s="524"/>
      <c r="M29" s="78"/>
      <c r="N29" s="78"/>
      <c r="P29" s="78"/>
      <c r="R29" s="63"/>
      <c r="S29" s="525" t="s">
        <v>3</v>
      </c>
      <c r="T29" s="525"/>
      <c r="U29" s="64"/>
      <c r="V29" s="64"/>
      <c r="X29" s="78"/>
      <c r="Y29" s="63"/>
      <c r="Z29" s="524" t="s">
        <v>3</v>
      </c>
      <c r="AA29" s="524"/>
      <c r="AB29" s="524"/>
      <c r="AC29" s="78"/>
    </row>
    <row r="30" spans="1:29" x14ac:dyDescent="0.2">
      <c r="A30" s="58"/>
      <c r="B30" s="59" t="s">
        <v>658</v>
      </c>
      <c r="C30" s="221" t="s">
        <v>714</v>
      </c>
      <c r="D30" s="222" t="s">
        <v>715</v>
      </c>
      <c r="E30" s="64"/>
      <c r="H30" s="78"/>
      <c r="I30" s="59" t="s">
        <v>658</v>
      </c>
      <c r="J30" s="221" t="s">
        <v>716</v>
      </c>
      <c r="K30" s="222" t="s">
        <v>717</v>
      </c>
      <c r="L30" s="60" t="s">
        <v>336</v>
      </c>
      <c r="M30" s="78"/>
      <c r="N30" s="78"/>
      <c r="P30" s="78"/>
      <c r="R30" s="59" t="s">
        <v>662</v>
      </c>
      <c r="S30" s="227" t="s">
        <v>714</v>
      </c>
      <c r="T30" s="227" t="s">
        <v>715</v>
      </c>
      <c r="U30" s="64"/>
      <c r="V30" s="64"/>
      <c r="X30" s="78"/>
      <c r="Y30" s="59" t="s">
        <v>662</v>
      </c>
      <c r="Z30" s="227" t="s">
        <v>716</v>
      </c>
      <c r="AA30" s="228" t="s">
        <v>717</v>
      </c>
      <c r="AB30" s="60" t="s">
        <v>336</v>
      </c>
      <c r="AC30" s="78"/>
    </row>
    <row r="31" spans="1:29" x14ac:dyDescent="0.2">
      <c r="A31" s="58"/>
      <c r="B31" s="449" t="s">
        <v>32</v>
      </c>
      <c r="C31" s="72">
        <f>J31/L31*100</f>
        <v>46.808510638297875</v>
      </c>
      <c r="D31" s="72">
        <f>K31/L31*100</f>
        <v>17.021276595744681</v>
      </c>
      <c r="E31" s="78"/>
      <c r="H31" s="78"/>
      <c r="I31" s="449" t="s">
        <v>32</v>
      </c>
      <c r="J31" s="17">
        <v>22</v>
      </c>
      <c r="K31" s="17">
        <v>8</v>
      </c>
      <c r="L31" s="17">
        <v>47</v>
      </c>
      <c r="M31" s="78"/>
      <c r="N31" s="78"/>
      <c r="P31" s="78"/>
      <c r="R31" s="449" t="s">
        <v>32</v>
      </c>
      <c r="S31" s="74">
        <f>Z31/AB31*100</f>
        <v>40.28776978417266</v>
      </c>
      <c r="T31" s="74">
        <f>AA31/AB31*100</f>
        <v>24.46043165467626</v>
      </c>
      <c r="U31" s="78"/>
      <c r="V31" s="78"/>
      <c r="X31" s="78"/>
      <c r="Y31" s="449" t="s">
        <v>32</v>
      </c>
      <c r="Z31" s="62">
        <v>56</v>
      </c>
      <c r="AA31" s="230">
        <v>34</v>
      </c>
      <c r="AB31" s="62">
        <v>139</v>
      </c>
      <c r="AC31" s="78"/>
    </row>
    <row r="32" spans="1:29" x14ac:dyDescent="0.2">
      <c r="B32" s="449" t="s">
        <v>33</v>
      </c>
      <c r="C32" s="72">
        <f>J32/L32*100</f>
        <v>31.521739130434785</v>
      </c>
      <c r="D32" s="72">
        <f>K32/L32*100</f>
        <v>2.1739130434782608</v>
      </c>
      <c r="E32" s="78"/>
      <c r="I32" s="449" t="s">
        <v>33</v>
      </c>
      <c r="J32" s="5">
        <v>29</v>
      </c>
      <c r="K32" s="17">
        <v>2</v>
      </c>
      <c r="L32" s="17">
        <v>92</v>
      </c>
      <c r="P32" s="78"/>
      <c r="R32" s="449" t="s">
        <v>33</v>
      </c>
      <c r="S32" s="74">
        <f t="shared" ref="S32:S33" si="6">Z32/AB32*100</f>
        <v>28.02547770700637</v>
      </c>
      <c r="T32" s="74">
        <f t="shared" ref="T32:T33" si="7">AA32/AB32*100</f>
        <v>9.5541401273885356</v>
      </c>
      <c r="U32" s="78"/>
      <c r="V32" s="78"/>
      <c r="Y32" s="449" t="s">
        <v>33</v>
      </c>
      <c r="Z32" s="62">
        <v>44</v>
      </c>
      <c r="AA32" s="230">
        <v>15</v>
      </c>
      <c r="AB32" s="62">
        <v>157</v>
      </c>
      <c r="AC32" s="78"/>
    </row>
    <row r="33" spans="1:29" x14ac:dyDescent="0.2">
      <c r="B33" s="449" t="s">
        <v>34</v>
      </c>
      <c r="C33" s="72">
        <f>J33/L33*100</f>
        <v>34</v>
      </c>
      <c r="D33" s="72">
        <f>K33/L33*100</f>
        <v>2</v>
      </c>
      <c r="E33" s="78"/>
      <c r="I33" s="449" t="s">
        <v>34</v>
      </c>
      <c r="J33" s="17">
        <v>17</v>
      </c>
      <c r="K33" s="17">
        <v>1</v>
      </c>
      <c r="L33" s="17">
        <v>50</v>
      </c>
      <c r="P33" s="78"/>
      <c r="R33" s="449" t="s">
        <v>34</v>
      </c>
      <c r="S33" s="74">
        <f t="shared" si="6"/>
        <v>50</v>
      </c>
      <c r="T33" s="74">
        <f t="shared" si="7"/>
        <v>15.942028985507244</v>
      </c>
      <c r="U33" s="78"/>
      <c r="V33" s="78"/>
      <c r="Y33" s="449" t="s">
        <v>34</v>
      </c>
      <c r="Z33" s="62">
        <v>69</v>
      </c>
      <c r="AA33" s="230">
        <v>22</v>
      </c>
      <c r="AB33" s="62">
        <v>138</v>
      </c>
      <c r="AC33" s="78"/>
    </row>
    <row r="34" spans="1:29" x14ac:dyDescent="0.2">
      <c r="B34" s="449" t="s">
        <v>35</v>
      </c>
      <c r="C34" s="72">
        <f>J34/L34*100</f>
        <v>38.235294117647058</v>
      </c>
      <c r="D34" s="72">
        <f>K34/L34*100</f>
        <v>20.588235294117645</v>
      </c>
      <c r="E34" s="220"/>
      <c r="F34" s="110"/>
      <c r="G34" s="110"/>
      <c r="I34" s="449" t="s">
        <v>35</v>
      </c>
      <c r="J34" s="17">
        <v>13</v>
      </c>
      <c r="K34" s="17">
        <v>7</v>
      </c>
      <c r="L34" s="17">
        <v>34</v>
      </c>
      <c r="P34" s="78"/>
      <c r="S34" s="95"/>
      <c r="T34" s="95"/>
      <c r="U34" s="220"/>
      <c r="V34" s="220"/>
      <c r="W34" s="110"/>
      <c r="Z34" s="95"/>
      <c r="AA34" s="95"/>
      <c r="AB34" s="95"/>
      <c r="AC34" s="78"/>
    </row>
    <row r="35" spans="1:29" x14ac:dyDescent="0.2">
      <c r="E35" s="64"/>
      <c r="F35" s="64"/>
      <c r="G35" s="64"/>
      <c r="P35" s="78"/>
      <c r="S35" s="95"/>
      <c r="T35" s="95"/>
      <c r="U35" s="64"/>
      <c r="V35" s="64"/>
      <c r="W35" s="64"/>
      <c r="Z35" s="95"/>
      <c r="AA35" s="95"/>
      <c r="AB35" s="95"/>
      <c r="AC35" s="78"/>
    </row>
    <row r="36" spans="1:29" x14ac:dyDescent="0.2">
      <c r="B36" s="63"/>
      <c r="C36" s="525" t="s">
        <v>4</v>
      </c>
      <c r="D36" s="525"/>
      <c r="E36" s="64"/>
      <c r="F36" s="64"/>
      <c r="G36" s="64"/>
      <c r="I36" s="63"/>
      <c r="J36" s="524" t="s">
        <v>4</v>
      </c>
      <c r="K36" s="524"/>
      <c r="L36" s="524"/>
      <c r="P36" s="78"/>
      <c r="R36" s="63"/>
      <c r="S36" s="525" t="s">
        <v>4</v>
      </c>
      <c r="T36" s="525"/>
      <c r="U36" s="64"/>
      <c r="V36" s="64"/>
      <c r="W36" s="64"/>
      <c r="Y36" s="63"/>
      <c r="Z36" s="524" t="s">
        <v>4</v>
      </c>
      <c r="AA36" s="524"/>
      <c r="AB36" s="524"/>
      <c r="AC36" s="78"/>
    </row>
    <row r="37" spans="1:29" x14ac:dyDescent="0.2">
      <c r="B37" s="59" t="s">
        <v>658</v>
      </c>
      <c r="C37" s="221" t="s">
        <v>714</v>
      </c>
      <c r="D37" s="221" t="s">
        <v>715</v>
      </c>
      <c r="E37" s="64"/>
      <c r="F37" s="64"/>
      <c r="G37" s="64"/>
      <c r="I37" s="59" t="s">
        <v>658</v>
      </c>
      <c r="J37" s="227" t="s">
        <v>716</v>
      </c>
      <c r="K37" s="228" t="s">
        <v>717</v>
      </c>
      <c r="L37" s="60" t="s">
        <v>336</v>
      </c>
      <c r="P37" s="78"/>
      <c r="R37" s="59" t="s">
        <v>662</v>
      </c>
      <c r="S37" s="227" t="s">
        <v>714</v>
      </c>
      <c r="T37" s="227" t="s">
        <v>715</v>
      </c>
      <c r="U37" s="64"/>
      <c r="V37" s="64"/>
      <c r="W37" s="64"/>
      <c r="Y37" s="59" t="s">
        <v>662</v>
      </c>
      <c r="Z37" s="227" t="s">
        <v>716</v>
      </c>
      <c r="AA37" s="228" t="s">
        <v>717</v>
      </c>
      <c r="AB37" s="60" t="s">
        <v>336</v>
      </c>
      <c r="AC37" s="78"/>
    </row>
    <row r="38" spans="1:29" x14ac:dyDescent="0.2">
      <c r="A38" s="78"/>
      <c r="B38" s="449" t="s">
        <v>32</v>
      </c>
      <c r="C38" s="72">
        <f>J38/L38*100</f>
        <v>27.27272727272727</v>
      </c>
      <c r="D38" s="72">
        <f>K38/L38*100</f>
        <v>1.5151515151515151</v>
      </c>
      <c r="E38" s="64"/>
      <c r="I38" s="449" t="s">
        <v>32</v>
      </c>
      <c r="J38" s="94">
        <v>18</v>
      </c>
      <c r="K38" s="94">
        <v>1</v>
      </c>
      <c r="L38" s="94">
        <v>66</v>
      </c>
      <c r="P38" s="78"/>
      <c r="R38" s="449" t="s">
        <v>32</v>
      </c>
      <c r="S38" s="74">
        <f>Z38/AB38*100</f>
        <v>28.061224489795915</v>
      </c>
      <c r="T38" s="74">
        <f>AA38/AB38*100</f>
        <v>11.73469387755102</v>
      </c>
      <c r="U38" s="64"/>
      <c r="V38" s="64"/>
      <c r="Y38" s="449" t="s">
        <v>32</v>
      </c>
      <c r="Z38" s="62">
        <v>55</v>
      </c>
      <c r="AA38" s="230">
        <v>23</v>
      </c>
      <c r="AB38" s="62">
        <v>196</v>
      </c>
      <c r="AC38" s="78"/>
    </row>
    <row r="39" spans="1:29" x14ac:dyDescent="0.2">
      <c r="A39" s="78"/>
      <c r="B39" s="449" t="s">
        <v>33</v>
      </c>
      <c r="C39" s="72">
        <f>J39/L39*100</f>
        <v>27.027027027027028</v>
      </c>
      <c r="D39" s="72">
        <f>K39/L39*100</f>
        <v>10.810810810810811</v>
      </c>
      <c r="E39" s="64"/>
      <c r="I39" s="449" t="s">
        <v>33</v>
      </c>
      <c r="J39" s="182">
        <v>10</v>
      </c>
      <c r="K39" s="94">
        <v>4</v>
      </c>
      <c r="L39" s="94">
        <v>37</v>
      </c>
      <c r="P39" s="78"/>
      <c r="R39" s="449" t="s">
        <v>33</v>
      </c>
      <c r="S39" s="72">
        <f t="shared" ref="S39:S40" si="8">Z39/AB39*100</f>
        <v>49.142857142857146</v>
      </c>
      <c r="T39" s="72">
        <f t="shared" ref="T39:T40" si="9">AA39/AB39*100</f>
        <v>25.714285714285712</v>
      </c>
      <c r="U39" s="64"/>
      <c r="V39" s="64"/>
      <c r="Y39" s="449" t="s">
        <v>33</v>
      </c>
      <c r="Z39" s="62">
        <v>86</v>
      </c>
      <c r="AA39" s="230">
        <v>45</v>
      </c>
      <c r="AB39" s="62">
        <v>175</v>
      </c>
      <c r="AC39" s="78"/>
    </row>
    <row r="40" spans="1:29" x14ac:dyDescent="0.2">
      <c r="B40" s="449" t="s">
        <v>34</v>
      </c>
      <c r="C40" s="72">
        <f>J40/L40*100</f>
        <v>40.384615384615387</v>
      </c>
      <c r="D40" s="72">
        <f>K40/L40*100</f>
        <v>21.153846153846153</v>
      </c>
      <c r="E40" s="78"/>
      <c r="F40" s="78"/>
      <c r="G40" s="78"/>
      <c r="I40" s="449" t="s">
        <v>34</v>
      </c>
      <c r="J40" s="94">
        <v>21</v>
      </c>
      <c r="K40" s="94">
        <v>11</v>
      </c>
      <c r="L40" s="94">
        <v>52</v>
      </c>
      <c r="P40" s="78"/>
      <c r="R40" s="449" t="s">
        <v>34</v>
      </c>
      <c r="S40" s="72">
        <f t="shared" si="8"/>
        <v>35.675675675675677</v>
      </c>
      <c r="T40" s="72">
        <f t="shared" si="9"/>
        <v>15.135135135135137</v>
      </c>
      <c r="U40" s="78"/>
      <c r="V40" s="78"/>
      <c r="W40" s="78"/>
      <c r="Y40" s="449" t="s">
        <v>34</v>
      </c>
      <c r="Z40" s="62">
        <v>66</v>
      </c>
      <c r="AA40" s="230">
        <v>28</v>
      </c>
      <c r="AB40" s="62">
        <v>185</v>
      </c>
      <c r="AC40" s="78"/>
    </row>
    <row r="41" spans="1:29" x14ac:dyDescent="0.2">
      <c r="B41" s="449" t="s">
        <v>35</v>
      </c>
      <c r="C41" s="72">
        <f>J41/L41*100</f>
        <v>28.888888888888886</v>
      </c>
      <c r="D41" s="72">
        <f>K41/L41*100</f>
        <v>13.333333333333334</v>
      </c>
      <c r="E41" s="78"/>
      <c r="F41" s="78"/>
      <c r="G41" s="78"/>
      <c r="I41" s="449" t="s">
        <v>35</v>
      </c>
      <c r="J41" s="94">
        <v>13</v>
      </c>
      <c r="K41" s="94">
        <v>6</v>
      </c>
      <c r="L41" s="94">
        <v>45</v>
      </c>
      <c r="P41" s="78"/>
      <c r="U41" s="78"/>
      <c r="V41" s="78"/>
      <c r="W41" s="78"/>
      <c r="Z41" s="95"/>
      <c r="AA41" s="95"/>
      <c r="AB41" s="95"/>
      <c r="AC41" s="78"/>
    </row>
    <row r="42" spans="1:29" x14ac:dyDescent="0.2">
      <c r="E42" s="78"/>
      <c r="J42" s="95"/>
      <c r="K42" s="95"/>
      <c r="L42" s="95"/>
      <c r="M42" s="78"/>
      <c r="N42" s="78"/>
      <c r="O42" s="78"/>
      <c r="P42" s="78"/>
      <c r="U42" s="78"/>
      <c r="V42" s="78"/>
      <c r="W42" s="78"/>
      <c r="Z42" s="95"/>
      <c r="AA42" s="95"/>
      <c r="AB42" s="95"/>
      <c r="AC42" s="78"/>
    </row>
    <row r="43" spans="1:29" x14ac:dyDescent="0.2">
      <c r="I43" s="107" t="s">
        <v>338</v>
      </c>
      <c r="J43" s="95"/>
      <c r="K43" s="95"/>
      <c r="L43" s="95"/>
      <c r="M43" s="78"/>
      <c r="N43" s="78"/>
      <c r="O43" s="78"/>
      <c r="P43" s="78"/>
      <c r="Q43" s="68" t="s">
        <v>51</v>
      </c>
      <c r="R43" s="59" t="s">
        <v>1</v>
      </c>
      <c r="S43" s="43">
        <f>AVERAGE(S13:S19)</f>
        <v>10.22986909047134</v>
      </c>
      <c r="T43" s="43">
        <f>AVERAGE(T13:T19)</f>
        <v>2.1389753680028072</v>
      </c>
      <c r="U43" s="226"/>
      <c r="V43" s="226"/>
      <c r="W43" s="68"/>
      <c r="Y43" s="107" t="s">
        <v>338</v>
      </c>
      <c r="AC43" s="78"/>
    </row>
    <row r="44" spans="1:29" x14ac:dyDescent="0.2">
      <c r="A44" s="68" t="s">
        <v>51</v>
      </c>
      <c r="B44" s="59" t="s">
        <v>1</v>
      </c>
      <c r="C44" s="43">
        <f>AVERAGE(C13:C20)</f>
        <v>10.641989986502184</v>
      </c>
      <c r="D44" s="43">
        <f>AVERAGE(D13:D20)</f>
        <v>2.1130952380952381</v>
      </c>
      <c r="E44" s="84"/>
      <c r="J44" s="95"/>
      <c r="K44" s="95"/>
      <c r="L44" s="95"/>
      <c r="M44" s="78"/>
      <c r="N44" s="78"/>
      <c r="O44" s="78"/>
      <c r="P44" s="78"/>
      <c r="R44" s="59" t="s">
        <v>2</v>
      </c>
      <c r="S44" s="43">
        <f>AVERAGE(S24:S26)</f>
        <v>37.752636408098596</v>
      </c>
      <c r="T44" s="43">
        <f>AVERAGE(T24:T26)</f>
        <v>17.087804818897258</v>
      </c>
      <c r="U44" s="226"/>
      <c r="V44" s="226"/>
      <c r="W44" s="68"/>
      <c r="AC44" s="78"/>
    </row>
    <row r="45" spans="1:29" x14ac:dyDescent="0.2">
      <c r="B45" s="59" t="s">
        <v>2</v>
      </c>
      <c r="C45" s="43">
        <f>AVERAGE(C24:C27)</f>
        <v>37.330031080031077</v>
      </c>
      <c r="D45" s="43">
        <f>AVERAGE(D24:D27)</f>
        <v>7.8112859362859366</v>
      </c>
      <c r="E45" s="84"/>
      <c r="I45" s="59"/>
      <c r="J45" s="227" t="s">
        <v>716</v>
      </c>
      <c r="K45" s="228" t="s">
        <v>717</v>
      </c>
      <c r="L45" s="60" t="s">
        <v>336</v>
      </c>
      <c r="M45" s="110"/>
      <c r="N45" s="110"/>
      <c r="O45" s="110"/>
      <c r="P45" s="78"/>
      <c r="R45" s="59" t="s">
        <v>3</v>
      </c>
      <c r="S45" s="43">
        <f>AVERAGE(S31:S33)</f>
        <v>39.437749163726345</v>
      </c>
      <c r="T45" s="43">
        <f>AVERAGE(T31:T33)</f>
        <v>16.652200255857345</v>
      </c>
      <c r="U45" s="226"/>
      <c r="V45" s="226"/>
      <c r="W45" s="68"/>
      <c r="Y45" s="59"/>
      <c r="Z45" s="221" t="s">
        <v>716</v>
      </c>
      <c r="AA45" s="222" t="s">
        <v>717</v>
      </c>
      <c r="AB45" s="60" t="s">
        <v>336</v>
      </c>
      <c r="AC45" s="78"/>
    </row>
    <row r="46" spans="1:29" x14ac:dyDescent="0.2">
      <c r="B46" s="59" t="s">
        <v>3</v>
      </c>
      <c r="C46" s="43">
        <f>AVERAGE(C31:C34)</f>
        <v>37.641385971594929</v>
      </c>
      <c r="D46" s="43">
        <f>AVERAGE(D31:D34)</f>
        <v>10.445856233335146</v>
      </c>
      <c r="E46" s="84"/>
      <c r="H46" s="78"/>
      <c r="I46" s="59" t="s">
        <v>1</v>
      </c>
      <c r="J46" s="17">
        <f>SUM(J13:J20)</f>
        <v>23</v>
      </c>
      <c r="K46" s="17">
        <f>SUM(K13:K20)</f>
        <v>5</v>
      </c>
      <c r="L46" s="17">
        <f>SUM(L13:L20)</f>
        <v>226</v>
      </c>
      <c r="M46" s="68"/>
      <c r="N46" s="68"/>
      <c r="O46" s="68"/>
      <c r="P46" s="78"/>
      <c r="R46" s="59" t="s">
        <v>4</v>
      </c>
      <c r="S46" s="43">
        <f>AVERAGE(S38:S40)</f>
        <v>37.626585769442912</v>
      </c>
      <c r="T46" s="43">
        <f>AVERAGE(T38:T40)</f>
        <v>17.528038242323955</v>
      </c>
      <c r="U46" s="226"/>
      <c r="V46" s="226"/>
      <c r="W46" s="68"/>
      <c r="X46" s="78"/>
      <c r="Y46" s="59" t="s">
        <v>1</v>
      </c>
      <c r="Z46" s="17">
        <f>SUM(Z13:Z19)</f>
        <v>56</v>
      </c>
      <c r="AA46" s="17">
        <f>SUM(AA13:AA19)</f>
        <v>12</v>
      </c>
      <c r="AB46" s="17">
        <f>SUM(AB13:AB19)</f>
        <v>534</v>
      </c>
      <c r="AC46" s="78"/>
    </row>
    <row r="47" spans="1:29" x14ac:dyDescent="0.2">
      <c r="B47" s="59" t="s">
        <v>4</v>
      </c>
      <c r="C47" s="43">
        <f>AVERAGE(C38:C41)</f>
        <v>30.893314643314643</v>
      </c>
      <c r="D47" s="43">
        <f>AVERAGE(D38:D41)</f>
        <v>11.703285453285455</v>
      </c>
      <c r="E47" s="84"/>
      <c r="F47" s="78"/>
      <c r="G47" s="78"/>
      <c r="H47" s="78"/>
      <c r="I47" s="59" t="s">
        <v>2</v>
      </c>
      <c r="J47" s="17">
        <f>SUM(J24:J27)</f>
        <v>79</v>
      </c>
      <c r="K47" s="17">
        <f>SUM(K24:K27)</f>
        <v>15</v>
      </c>
      <c r="L47" s="17">
        <f>SUM(L24:L27)</f>
        <v>214</v>
      </c>
      <c r="M47" s="68"/>
      <c r="N47" s="68"/>
      <c r="O47" s="68"/>
      <c r="P47" s="78"/>
      <c r="U47" s="78"/>
      <c r="V47" s="78"/>
      <c r="W47" s="78"/>
      <c r="X47" s="78"/>
      <c r="Y47" s="59" t="s">
        <v>2</v>
      </c>
      <c r="Z47" s="17">
        <f>SUM(Z24:Z26)</f>
        <v>174</v>
      </c>
      <c r="AA47" s="17">
        <f>SUM(AA24:AA26)</f>
        <v>79</v>
      </c>
      <c r="AB47" s="17">
        <f>SUM(AB24:AB26)</f>
        <v>465</v>
      </c>
      <c r="AC47" s="78"/>
    </row>
    <row r="48" spans="1:29" x14ac:dyDescent="0.2">
      <c r="E48" s="78"/>
      <c r="F48" s="78"/>
      <c r="G48" s="78"/>
      <c r="H48" s="78"/>
      <c r="I48" s="59" t="s">
        <v>3</v>
      </c>
      <c r="J48" s="17">
        <f>SUM(J31:J34)</f>
        <v>81</v>
      </c>
      <c r="K48" s="17">
        <f>SUM(K31:K34)</f>
        <v>18</v>
      </c>
      <c r="L48" s="17">
        <f>SUM(L31:L34)</f>
        <v>223</v>
      </c>
      <c r="M48" s="68"/>
      <c r="N48" s="68"/>
      <c r="O48" s="68"/>
      <c r="P48" s="78"/>
      <c r="U48" s="78"/>
      <c r="V48" s="78"/>
      <c r="W48" s="78"/>
      <c r="X48" s="78"/>
      <c r="Y48" s="59" t="s">
        <v>3</v>
      </c>
      <c r="Z48" s="17">
        <f>SUM(Z31:Z33)</f>
        <v>169</v>
      </c>
      <c r="AA48" s="17">
        <f>SUM(AA31:AA33)</f>
        <v>71</v>
      </c>
      <c r="AB48" s="17">
        <f>SUM(AB31:AB33)</f>
        <v>434</v>
      </c>
      <c r="AC48" s="78"/>
    </row>
    <row r="49" spans="1:29" x14ac:dyDescent="0.2">
      <c r="E49" s="78"/>
      <c r="F49" s="68"/>
      <c r="G49" s="68"/>
      <c r="H49" s="78"/>
      <c r="I49" s="59" t="s">
        <v>4</v>
      </c>
      <c r="J49" s="17">
        <f>SUM(J38:J41)</f>
        <v>62</v>
      </c>
      <c r="K49" s="17">
        <f>SUM(K38:K41)</f>
        <v>22</v>
      </c>
      <c r="L49" s="17">
        <f>SUM(L38:L41)</f>
        <v>200</v>
      </c>
      <c r="M49" s="68"/>
      <c r="N49" s="68"/>
      <c r="O49" s="68"/>
      <c r="P49" s="78"/>
      <c r="Q49" s="68" t="s">
        <v>13</v>
      </c>
      <c r="R49" s="59" t="s">
        <v>1</v>
      </c>
      <c r="S49" s="17">
        <f>STDEV(S13:S19)</f>
        <v>7.8009218245223941</v>
      </c>
      <c r="T49" s="17">
        <f>STDEV(T13:T19)</f>
        <v>1.5906449639178575</v>
      </c>
      <c r="W49" s="68"/>
      <c r="X49" s="78"/>
      <c r="Y49" s="59" t="s">
        <v>4</v>
      </c>
      <c r="Z49" s="17">
        <f>SUM(Z38:Z40)</f>
        <v>207</v>
      </c>
      <c r="AA49" s="17">
        <f>SUM(AA38:AA40)</f>
        <v>96</v>
      </c>
      <c r="AB49" s="17">
        <f>SUM(AB38:AB40)</f>
        <v>556</v>
      </c>
      <c r="AC49" s="78"/>
    </row>
    <row r="50" spans="1:29" x14ac:dyDescent="0.2">
      <c r="A50" s="68" t="s">
        <v>13</v>
      </c>
      <c r="B50" s="59" t="s">
        <v>1</v>
      </c>
      <c r="C50" s="17">
        <f>STDEV(C13:C20)</f>
        <v>10.818037456073544</v>
      </c>
      <c r="D50" s="17">
        <f>STDEV(D13:D20)</f>
        <v>3.5485377525687807</v>
      </c>
      <c r="E50" s="68"/>
      <c r="F50" s="68"/>
      <c r="G50" s="68"/>
      <c r="M50" s="78"/>
      <c r="N50" s="78"/>
      <c r="O50" s="78"/>
      <c r="P50" s="78"/>
      <c r="R50" s="59" t="s">
        <v>2</v>
      </c>
      <c r="S50" s="17">
        <f>STDEV(S24:S26)</f>
        <v>8.5848583525001523</v>
      </c>
      <c r="T50" s="17">
        <f>STDEV(T24:T26)</f>
        <v>7.3436495322229964</v>
      </c>
      <c r="W50" s="68"/>
      <c r="AC50" s="78"/>
    </row>
    <row r="51" spans="1:29" x14ac:dyDescent="0.2">
      <c r="B51" s="59" t="s">
        <v>2</v>
      </c>
      <c r="C51" s="17">
        <f>STDEV(C24:C27)</f>
        <v>11.427464207180975</v>
      </c>
      <c r="D51" s="17">
        <f>STDEV(D24:D27)</f>
        <v>8.6005772504566931</v>
      </c>
      <c r="E51" s="68"/>
      <c r="F51" s="68"/>
      <c r="G51" s="68"/>
      <c r="M51" s="78"/>
      <c r="N51" s="78"/>
      <c r="O51" s="78"/>
      <c r="P51" s="78"/>
      <c r="R51" s="59" t="s">
        <v>3</v>
      </c>
      <c r="S51" s="17">
        <f>STDEV(S31:S33)</f>
        <v>11.011893969372693</v>
      </c>
      <c r="T51" s="17">
        <f>STDEV(T31:T33)</f>
        <v>7.4784784013223886</v>
      </c>
      <c r="W51" s="68"/>
      <c r="AC51" s="78"/>
    </row>
    <row r="52" spans="1:29" x14ac:dyDescent="0.2">
      <c r="B52" s="59" t="s">
        <v>3</v>
      </c>
      <c r="C52" s="17">
        <f>STDEV(C31:C34)</f>
        <v>6.7106549803395952</v>
      </c>
      <c r="D52" s="17">
        <f>STDEV(D31:D34)</f>
        <v>9.7615152103447382</v>
      </c>
      <c r="E52" s="68"/>
      <c r="F52" s="68"/>
      <c r="G52" s="68"/>
      <c r="M52" s="78"/>
      <c r="N52" s="78"/>
      <c r="O52" s="78"/>
      <c r="P52" s="78"/>
      <c r="R52" s="59" t="s">
        <v>4</v>
      </c>
      <c r="S52" s="17">
        <f>STDEV(S38:S40)</f>
        <v>10.675361655472212</v>
      </c>
      <c r="T52" s="17">
        <f>STDEV(T38:T40)</f>
        <v>7.2905237082613059</v>
      </c>
      <c r="W52" s="68"/>
      <c r="AC52" s="78"/>
    </row>
    <row r="53" spans="1:29" x14ac:dyDescent="0.2">
      <c r="B53" s="59" t="s">
        <v>4</v>
      </c>
      <c r="C53" s="17">
        <f>STDEV(C38:C41)</f>
        <v>6.3812053513093501</v>
      </c>
      <c r="D53" s="17">
        <f>STDEV(D38:D41)</f>
        <v>8.0945400893657453</v>
      </c>
      <c r="E53" s="68"/>
      <c r="F53" s="78"/>
      <c r="G53" s="78"/>
      <c r="M53" s="78"/>
      <c r="N53" s="78"/>
      <c r="O53" s="78"/>
      <c r="P53" s="78"/>
      <c r="U53" s="78"/>
      <c r="V53" s="78"/>
      <c r="W53" s="78"/>
      <c r="AC53" s="78"/>
    </row>
    <row r="54" spans="1:29" x14ac:dyDescent="0.2">
      <c r="E54" s="78"/>
      <c r="F54" s="68"/>
      <c r="G54" s="68"/>
      <c r="M54" s="78"/>
      <c r="N54" s="78"/>
      <c r="O54" s="78"/>
      <c r="P54" s="78"/>
      <c r="S54" s="9"/>
      <c r="T54" s="9"/>
      <c r="U54" s="68"/>
      <c r="V54" s="68"/>
      <c r="W54" s="68"/>
      <c r="AC54" s="78"/>
    </row>
    <row r="55" spans="1:29" x14ac:dyDescent="0.2">
      <c r="C55" s="9"/>
      <c r="D55" s="9"/>
      <c r="E55" s="78"/>
      <c r="F55" s="79"/>
      <c r="G55" s="79"/>
      <c r="P55" s="78"/>
      <c r="Q55" s="68" t="s">
        <v>14</v>
      </c>
      <c r="R55" s="59" t="s">
        <v>1</v>
      </c>
      <c r="S55" s="70">
        <f>S49/(7^0.5)</f>
        <v>2.9484713063917858</v>
      </c>
      <c r="T55" s="70">
        <f>T49/(7^0.5)</f>
        <v>0.60120728553199421</v>
      </c>
      <c r="W55" s="79"/>
      <c r="AC55" s="78"/>
    </row>
    <row r="56" spans="1:29" x14ac:dyDescent="0.2">
      <c r="A56" s="68" t="s">
        <v>14</v>
      </c>
      <c r="B56" s="59" t="s">
        <v>1</v>
      </c>
      <c r="C56" s="70">
        <f>C50/(8^0.5)</f>
        <v>3.8247538221598352</v>
      </c>
      <c r="D56" s="70">
        <f>D50/(8^0.5)</f>
        <v>1.2545975540689278</v>
      </c>
      <c r="F56" s="79"/>
      <c r="G56" s="79"/>
      <c r="P56" s="78"/>
      <c r="R56" s="59" t="s">
        <v>2</v>
      </c>
      <c r="S56" s="70">
        <f t="shared" ref="S56:T58" si="10">S50/(3^0.5)</f>
        <v>4.9564702807707706</v>
      </c>
      <c r="T56" s="70">
        <f t="shared" si="10"/>
        <v>4.2398580342632162</v>
      </c>
      <c r="W56" s="79"/>
      <c r="AC56" s="78"/>
    </row>
    <row r="57" spans="1:29" x14ac:dyDescent="0.2">
      <c r="B57" s="59" t="s">
        <v>2</v>
      </c>
      <c r="C57" s="70">
        <f t="shared" ref="C57:D59" si="11">C51/(4^0.5)</f>
        <v>5.7137321035904876</v>
      </c>
      <c r="D57" s="70">
        <f t="shared" si="11"/>
        <v>4.3002886252283465</v>
      </c>
      <c r="F57" s="79"/>
      <c r="G57" s="79"/>
      <c r="P57" s="78"/>
      <c r="R57" s="59" t="s">
        <v>3</v>
      </c>
      <c r="S57" s="70">
        <f t="shared" si="10"/>
        <v>6.3577199475049415</v>
      </c>
      <c r="T57" s="70">
        <f t="shared" si="10"/>
        <v>4.3177015181322833</v>
      </c>
      <c r="W57" s="79"/>
      <c r="AC57" s="78"/>
    </row>
    <row r="58" spans="1:29" x14ac:dyDescent="0.2">
      <c r="B58" s="59" t="s">
        <v>3</v>
      </c>
      <c r="C58" s="70">
        <f t="shared" si="11"/>
        <v>3.3553274901697976</v>
      </c>
      <c r="D58" s="70">
        <f t="shared" si="11"/>
        <v>4.8807576051723691</v>
      </c>
      <c r="F58" s="79"/>
      <c r="G58" s="79"/>
      <c r="P58" s="78"/>
      <c r="R58" s="59" t="s">
        <v>4</v>
      </c>
      <c r="S58" s="70">
        <f t="shared" si="10"/>
        <v>6.1634229254834914</v>
      </c>
      <c r="T58" s="70">
        <f t="shared" si="10"/>
        <v>4.2091858254980137</v>
      </c>
      <c r="W58" s="79"/>
      <c r="AC58" s="78"/>
    </row>
    <row r="59" spans="1:29" x14ac:dyDescent="0.2">
      <c r="B59" s="59" t="s">
        <v>4</v>
      </c>
      <c r="C59" s="70">
        <f t="shared" si="11"/>
        <v>3.190602675654675</v>
      </c>
      <c r="D59" s="70">
        <f t="shared" si="11"/>
        <v>4.0472700446828727</v>
      </c>
      <c r="F59" s="78"/>
      <c r="G59" s="78"/>
      <c r="P59" s="78"/>
      <c r="U59" s="78"/>
      <c r="V59" s="78"/>
      <c r="W59" s="78"/>
      <c r="AC59" s="78"/>
    </row>
    <row r="60" spans="1:29" x14ac:dyDescent="0.2">
      <c r="P60" s="78"/>
      <c r="AC60" s="78"/>
    </row>
    <row r="61" spans="1:29" ht="18" x14ac:dyDescent="0.2">
      <c r="B61" s="19" t="s">
        <v>52</v>
      </c>
      <c r="C61" s="20"/>
      <c r="D61" s="20"/>
      <c r="E61" s="42"/>
      <c r="F61" s="42"/>
      <c r="G61" s="42"/>
      <c r="P61" s="78"/>
      <c r="R61" s="19" t="s">
        <v>52</v>
      </c>
      <c r="S61" s="20"/>
      <c r="T61" s="20"/>
      <c r="AC61" s="78"/>
    </row>
    <row r="62" spans="1:29" s="66" customFormat="1" ht="18" x14ac:dyDescent="0.2">
      <c r="B62" s="80"/>
      <c r="C62" s="42"/>
      <c r="D62" s="42"/>
      <c r="E62" s="42"/>
      <c r="F62" s="42"/>
      <c r="G62" s="42"/>
      <c r="P62" s="58"/>
      <c r="R62"/>
      <c r="S62"/>
      <c r="T62"/>
      <c r="U62"/>
      <c r="V62"/>
      <c r="W62"/>
      <c r="X62"/>
      <c r="AC62" s="58"/>
    </row>
    <row r="63" spans="1:29" ht="18" x14ac:dyDescent="0.2">
      <c r="B63" s="19" t="s">
        <v>719</v>
      </c>
      <c r="C63" s="20"/>
      <c r="D63" s="20"/>
      <c r="E63" s="20"/>
      <c r="I63" s="80"/>
      <c r="J63" s="42"/>
      <c r="K63" s="42"/>
      <c r="L63" s="42"/>
      <c r="P63" s="78"/>
      <c r="Q63" s="278" t="s">
        <v>714</v>
      </c>
      <c r="R63" s="47" t="s">
        <v>662</v>
      </c>
      <c r="Y63" s="80"/>
      <c r="Z63" s="42"/>
      <c r="AA63" s="42"/>
      <c r="AB63" s="42"/>
      <c r="AC63" s="78"/>
    </row>
    <row r="64" spans="1:29" x14ac:dyDescent="0.2">
      <c r="A64" s="278" t="s">
        <v>714</v>
      </c>
      <c r="B64" s="47" t="s">
        <v>658</v>
      </c>
      <c r="I64" s="66"/>
      <c r="J64" s="66"/>
      <c r="K64" s="66"/>
      <c r="L64" s="66"/>
      <c r="P64" s="78"/>
      <c r="R64" s="15" t="s">
        <v>53</v>
      </c>
      <c r="S64" s="1"/>
      <c r="Y64" s="66"/>
      <c r="Z64" s="66"/>
      <c r="AA64" s="66"/>
      <c r="AB64" s="234"/>
      <c r="AC64" s="78"/>
    </row>
    <row r="65" spans="1:29" x14ac:dyDescent="0.2">
      <c r="B65" s="15" t="s">
        <v>53</v>
      </c>
      <c r="C65" s="1"/>
      <c r="D65" s="9"/>
      <c r="E65" s="9"/>
      <c r="I65" s="173"/>
      <c r="J65" s="49"/>
      <c r="K65" s="42"/>
      <c r="L65" s="42"/>
      <c r="P65" s="78"/>
      <c r="R65" s="2" t="s">
        <v>0</v>
      </c>
      <c r="S65" s="95"/>
      <c r="T65" s="46">
        <v>12.62</v>
      </c>
      <c r="Y65" s="173"/>
      <c r="Z65" s="49"/>
      <c r="AA65" s="42"/>
      <c r="AB65" s="42"/>
      <c r="AC65" s="78"/>
    </row>
    <row r="66" spans="1:29" x14ac:dyDescent="0.2">
      <c r="B66" s="2" t="s">
        <v>0</v>
      </c>
      <c r="C66" s="233"/>
      <c r="D66" s="46">
        <v>11.01</v>
      </c>
      <c r="I66" s="131"/>
      <c r="J66" s="42"/>
      <c r="K66" s="66"/>
      <c r="L66" s="99"/>
      <c r="P66" s="78"/>
      <c r="R66" s="2" t="s">
        <v>36</v>
      </c>
      <c r="S66" s="95"/>
      <c r="T66" s="46">
        <v>5.0000000000000001E-4</v>
      </c>
      <c r="Y66" s="131"/>
      <c r="Z66" s="42"/>
      <c r="AA66" s="66"/>
      <c r="AB66" s="99"/>
      <c r="AC66" s="78"/>
    </row>
    <row r="67" spans="1:29" x14ac:dyDescent="0.2">
      <c r="B67" s="2" t="s">
        <v>36</v>
      </c>
      <c r="C67" s="233"/>
      <c r="D67" s="46">
        <v>4.0000000000000002E-4</v>
      </c>
      <c r="I67" s="131"/>
      <c r="J67" s="42"/>
      <c r="K67" s="66"/>
      <c r="L67" s="50"/>
      <c r="P67" s="78"/>
      <c r="R67" s="2" t="s">
        <v>37</v>
      </c>
      <c r="S67" s="95"/>
      <c r="T67" s="46" t="s">
        <v>10</v>
      </c>
      <c r="Y67" s="131"/>
      <c r="Z67" s="42"/>
      <c r="AA67" s="66"/>
      <c r="AB67" s="50"/>
      <c r="AC67" s="78"/>
    </row>
    <row r="68" spans="1:29" x14ac:dyDescent="0.2">
      <c r="B68" s="2" t="s">
        <v>37</v>
      </c>
      <c r="C68" s="233"/>
      <c r="D68" s="46" t="s">
        <v>10</v>
      </c>
      <c r="I68" s="131"/>
      <c r="J68" s="42"/>
      <c r="K68" s="66"/>
      <c r="L68" s="50"/>
      <c r="P68" s="78"/>
      <c r="R68" s="2" t="s">
        <v>54</v>
      </c>
      <c r="S68" s="95"/>
      <c r="T68" s="46" t="s">
        <v>41</v>
      </c>
      <c r="Y68" s="131"/>
      <c r="Z68" s="42"/>
      <c r="AA68" s="66"/>
      <c r="AB68" s="50"/>
      <c r="AC68" s="78"/>
    </row>
    <row r="69" spans="1:29" x14ac:dyDescent="0.2">
      <c r="B69" s="2" t="s">
        <v>54</v>
      </c>
      <c r="C69" s="233"/>
      <c r="D69" s="46" t="s">
        <v>41</v>
      </c>
      <c r="I69" s="131"/>
      <c r="J69" s="42"/>
      <c r="K69" s="66"/>
      <c r="L69" s="50"/>
      <c r="P69" s="78"/>
      <c r="R69" s="2" t="s">
        <v>55</v>
      </c>
      <c r="S69" s="95"/>
      <c r="T69" s="46">
        <v>0.75939999999999996</v>
      </c>
      <c r="Y69" s="131"/>
      <c r="Z69" s="42"/>
      <c r="AA69" s="66"/>
      <c r="AB69" s="50"/>
      <c r="AC69" s="78"/>
    </row>
    <row r="70" spans="1:29" x14ac:dyDescent="0.2">
      <c r="B70" s="2" t="s">
        <v>55</v>
      </c>
      <c r="C70" s="233"/>
      <c r="D70" s="46">
        <v>0.67369999999999997</v>
      </c>
      <c r="I70" s="131"/>
      <c r="J70" s="42"/>
      <c r="K70" s="42"/>
      <c r="L70" s="49"/>
      <c r="P70" s="78"/>
      <c r="Y70" s="131"/>
      <c r="Z70" s="42"/>
      <c r="AA70" s="42"/>
      <c r="AB70" s="49"/>
      <c r="AC70" s="78"/>
    </row>
    <row r="71" spans="1:29" x14ac:dyDescent="0.2">
      <c r="B71" s="9"/>
      <c r="C71" s="9"/>
      <c r="D71" s="9"/>
      <c r="E71" s="9"/>
      <c r="I71" s="42"/>
      <c r="J71" s="42"/>
      <c r="K71" s="42"/>
      <c r="L71" s="42"/>
      <c r="P71" s="78"/>
      <c r="R71" s="3" t="s">
        <v>44</v>
      </c>
      <c r="S71" s="16" t="s">
        <v>45</v>
      </c>
      <c r="T71" s="76"/>
      <c r="U71" s="76"/>
      <c r="V71" s="76"/>
      <c r="W71" s="76"/>
      <c r="Y71" s="42"/>
      <c r="Z71" s="42"/>
      <c r="AA71" s="42"/>
      <c r="AB71" s="42"/>
      <c r="AC71" s="78"/>
    </row>
    <row r="72" spans="1:29" x14ac:dyDescent="0.2">
      <c r="B72" s="3" t="s">
        <v>44</v>
      </c>
      <c r="C72" s="52"/>
      <c r="D72" s="52"/>
      <c r="E72" s="52"/>
      <c r="F72" s="76"/>
      <c r="G72" s="76"/>
      <c r="I72" s="42"/>
      <c r="J72" s="42"/>
      <c r="K72" s="42"/>
      <c r="L72" s="42"/>
      <c r="P72" s="78"/>
      <c r="R72" s="76"/>
      <c r="S72" s="76"/>
      <c r="T72" s="16" t="s">
        <v>46</v>
      </c>
      <c r="U72" s="16" t="s">
        <v>47</v>
      </c>
      <c r="V72" s="16" t="s">
        <v>48</v>
      </c>
      <c r="W72" s="16" t="s">
        <v>5</v>
      </c>
      <c r="Y72" s="42"/>
      <c r="Z72" s="42"/>
      <c r="AA72" s="42"/>
      <c r="AB72" s="42"/>
      <c r="AC72" s="78"/>
    </row>
    <row r="73" spans="1:29" x14ac:dyDescent="0.2">
      <c r="B73" s="76"/>
      <c r="C73" s="16" t="s">
        <v>45</v>
      </c>
      <c r="D73" s="16" t="s">
        <v>46</v>
      </c>
      <c r="E73" s="16" t="s">
        <v>47</v>
      </c>
      <c r="F73" s="16" t="s">
        <v>48</v>
      </c>
      <c r="G73" s="16" t="s">
        <v>5</v>
      </c>
      <c r="I73" s="173"/>
      <c r="J73" s="42"/>
      <c r="K73" s="131"/>
      <c r="L73" s="49"/>
      <c r="P73" s="78"/>
      <c r="R73" s="2" t="s">
        <v>6</v>
      </c>
      <c r="S73" s="1">
        <v>-27.52</v>
      </c>
      <c r="T73" s="1" t="s">
        <v>727</v>
      </c>
      <c r="U73" s="1" t="s">
        <v>41</v>
      </c>
      <c r="V73" s="1" t="s">
        <v>11</v>
      </c>
      <c r="W73" s="1">
        <v>2.3999999999999998E-3</v>
      </c>
      <c r="Y73" s="173"/>
      <c r="Z73" s="42"/>
      <c r="AA73" s="131"/>
      <c r="AB73" s="49"/>
      <c r="AC73" s="78"/>
    </row>
    <row r="74" spans="1:29" x14ac:dyDescent="0.2">
      <c r="B74" s="2" t="s">
        <v>6</v>
      </c>
      <c r="C74" s="1">
        <v>-26.69</v>
      </c>
      <c r="D74" s="1" t="s">
        <v>721</v>
      </c>
      <c r="E74" s="1" t="s">
        <v>41</v>
      </c>
      <c r="F74" s="1" t="s">
        <v>10</v>
      </c>
      <c r="G74" s="1">
        <v>1E-3</v>
      </c>
      <c r="I74" s="42"/>
      <c r="J74" s="136"/>
      <c r="K74" s="136"/>
      <c r="L74" s="136"/>
      <c r="P74" s="78"/>
      <c r="R74" s="2" t="s">
        <v>7</v>
      </c>
      <c r="S74" s="1">
        <v>-29.21</v>
      </c>
      <c r="T74" s="1" t="s">
        <v>728</v>
      </c>
      <c r="U74" s="1" t="s">
        <v>41</v>
      </c>
      <c r="V74" s="1" t="s">
        <v>11</v>
      </c>
      <c r="W74" s="1">
        <v>1.5E-3</v>
      </c>
      <c r="Y74" s="42"/>
      <c r="Z74" s="136"/>
      <c r="AA74" s="136"/>
      <c r="AB74" s="136"/>
      <c r="AC74" s="78"/>
    </row>
    <row r="75" spans="1:29" x14ac:dyDescent="0.2">
      <c r="B75" s="2" t="s">
        <v>7</v>
      </c>
      <c r="C75" s="1">
        <v>-27</v>
      </c>
      <c r="D75" s="1" t="s">
        <v>722</v>
      </c>
      <c r="E75" s="1" t="s">
        <v>41</v>
      </c>
      <c r="F75" s="1" t="s">
        <v>10</v>
      </c>
      <c r="G75" s="1">
        <v>8.9999999999999998E-4</v>
      </c>
      <c r="I75" s="131"/>
      <c r="J75" s="49"/>
      <c r="K75" s="49"/>
      <c r="L75" s="49"/>
      <c r="P75" s="78"/>
      <c r="R75" s="2" t="s">
        <v>8</v>
      </c>
      <c r="S75" s="1">
        <v>-27.4</v>
      </c>
      <c r="T75" s="1" t="s">
        <v>729</v>
      </c>
      <c r="U75" s="1" t="s">
        <v>41</v>
      </c>
      <c r="V75" s="1" t="s">
        <v>11</v>
      </c>
      <c r="W75" s="1">
        <v>2.5000000000000001E-3</v>
      </c>
      <c r="Y75" s="131"/>
      <c r="Z75" s="49"/>
      <c r="AA75" s="49"/>
      <c r="AB75" s="49"/>
      <c r="AC75" s="78"/>
    </row>
    <row r="76" spans="1:29" x14ac:dyDescent="0.2">
      <c r="B76" s="2" t="s">
        <v>8</v>
      </c>
      <c r="C76" s="1">
        <v>-20.25</v>
      </c>
      <c r="D76" s="1" t="s">
        <v>723</v>
      </c>
      <c r="E76" s="1" t="s">
        <v>41</v>
      </c>
      <c r="F76" s="1" t="s">
        <v>11</v>
      </c>
      <c r="G76" s="1">
        <v>9.2999999999999992E-3</v>
      </c>
      <c r="I76" s="131"/>
      <c r="J76" s="49"/>
      <c r="K76" s="49"/>
      <c r="L76" s="49"/>
      <c r="P76" s="78"/>
      <c r="Y76" s="131"/>
      <c r="Z76" s="49"/>
      <c r="AA76" s="49"/>
      <c r="AB76" s="49"/>
      <c r="AC76" s="78"/>
    </row>
    <row r="77" spans="1:29" x14ac:dyDescent="0.2">
      <c r="B77" s="2"/>
      <c r="C77" s="35"/>
      <c r="D77" s="1"/>
      <c r="E77" s="1"/>
      <c r="I77" s="131"/>
      <c r="J77" s="49"/>
      <c r="K77" s="49"/>
      <c r="L77" s="49"/>
      <c r="P77" s="78"/>
      <c r="Y77" s="131"/>
      <c r="Z77" s="49"/>
      <c r="AA77" s="49"/>
      <c r="AB77" s="49"/>
      <c r="AC77" s="78"/>
    </row>
    <row r="78" spans="1:29" x14ac:dyDescent="0.2">
      <c r="B78" s="2"/>
      <c r="C78" s="1"/>
      <c r="D78" s="1"/>
      <c r="E78" s="1"/>
      <c r="I78" s="131"/>
      <c r="J78" s="49"/>
      <c r="K78" s="49"/>
      <c r="L78" s="49"/>
      <c r="P78" s="78"/>
      <c r="Q78" s="278" t="s">
        <v>715</v>
      </c>
      <c r="R78" s="47" t="s">
        <v>662</v>
      </c>
      <c r="Y78" s="131"/>
      <c r="Z78" s="49"/>
      <c r="AA78" s="49"/>
      <c r="AB78" s="49"/>
      <c r="AC78" s="78"/>
    </row>
    <row r="79" spans="1:29" x14ac:dyDescent="0.2">
      <c r="B79" s="2"/>
      <c r="C79" s="1"/>
      <c r="D79" s="1"/>
      <c r="E79" s="1"/>
      <c r="I79" s="131"/>
      <c r="J79" s="49"/>
      <c r="K79" s="49"/>
      <c r="L79" s="49"/>
      <c r="P79" s="78"/>
      <c r="R79" s="15" t="s">
        <v>53</v>
      </c>
      <c r="S79" s="1"/>
      <c r="Y79" s="131"/>
      <c r="Z79" s="49"/>
      <c r="AA79" s="49"/>
      <c r="AB79" s="49"/>
      <c r="AC79" s="78"/>
    </row>
    <row r="80" spans="1:29" x14ac:dyDescent="0.2">
      <c r="A80" s="278" t="s">
        <v>715</v>
      </c>
      <c r="B80" s="47" t="s">
        <v>658</v>
      </c>
      <c r="C80" s="35"/>
      <c r="D80" s="1"/>
      <c r="I80" s="131"/>
      <c r="J80" s="49"/>
      <c r="K80" s="49"/>
      <c r="L80" s="49"/>
      <c r="P80" s="78"/>
      <c r="R80" s="2" t="s">
        <v>0</v>
      </c>
      <c r="T80" s="46">
        <v>10.33</v>
      </c>
      <c r="Y80" s="131"/>
      <c r="Z80" s="49"/>
      <c r="AA80" s="49"/>
      <c r="AB80" s="49"/>
      <c r="AC80" s="78"/>
    </row>
    <row r="81" spans="2:29" x14ac:dyDescent="0.2">
      <c r="B81" s="15" t="s">
        <v>53</v>
      </c>
      <c r="P81" s="78"/>
      <c r="R81" s="2" t="s">
        <v>36</v>
      </c>
      <c r="T81" s="46">
        <v>1.1999999999999999E-3</v>
      </c>
      <c r="Y81" s="66"/>
      <c r="Z81" s="66"/>
      <c r="AA81" s="66"/>
      <c r="AB81" s="66"/>
      <c r="AC81" s="78"/>
    </row>
    <row r="82" spans="2:29" x14ac:dyDescent="0.2">
      <c r="B82" s="2" t="s">
        <v>0</v>
      </c>
      <c r="D82" s="1">
        <v>2.2149999999999999</v>
      </c>
      <c r="P82" s="78"/>
      <c r="R82" s="2" t="s">
        <v>37</v>
      </c>
      <c r="T82" s="46" t="s">
        <v>11</v>
      </c>
      <c r="AC82" s="78"/>
    </row>
    <row r="83" spans="2:29" x14ac:dyDescent="0.2">
      <c r="B83" s="2" t="s">
        <v>36</v>
      </c>
      <c r="D83" s="1">
        <v>0.12590000000000001</v>
      </c>
      <c r="P83" s="78"/>
      <c r="Q83" s="78"/>
      <c r="R83" s="2" t="s">
        <v>54</v>
      </c>
      <c r="T83" s="46" t="s">
        <v>41</v>
      </c>
      <c r="Y83" s="78"/>
      <c r="Z83" s="78"/>
      <c r="AA83" s="78"/>
      <c r="AB83" s="78"/>
      <c r="AC83" s="78"/>
    </row>
    <row r="84" spans="2:29" x14ac:dyDescent="0.2">
      <c r="B84" s="2" t="s">
        <v>37</v>
      </c>
      <c r="D84" s="46" t="s">
        <v>9</v>
      </c>
      <c r="P84" s="78"/>
      <c r="Q84" s="78"/>
      <c r="R84" s="2" t="s">
        <v>55</v>
      </c>
      <c r="T84" s="46">
        <v>0.72089999999999999</v>
      </c>
      <c r="Y84" s="78"/>
      <c r="Z84" s="78"/>
      <c r="AA84" s="78"/>
      <c r="AB84" s="78"/>
      <c r="AC84" s="78"/>
    </row>
    <row r="85" spans="2:29" x14ac:dyDescent="0.2">
      <c r="B85" s="2" t="s">
        <v>54</v>
      </c>
      <c r="D85" s="46" t="s">
        <v>49</v>
      </c>
    </row>
    <row r="86" spans="2:29" x14ac:dyDescent="0.2">
      <c r="B86" s="2" t="s">
        <v>55</v>
      </c>
      <c r="D86" s="1">
        <v>0.29339999999999999</v>
      </c>
      <c r="R86" s="3" t="s">
        <v>44</v>
      </c>
      <c r="S86" s="16" t="s">
        <v>45</v>
      </c>
      <c r="T86" s="76"/>
      <c r="U86" s="76"/>
      <c r="V86" s="76"/>
      <c r="W86" s="76"/>
    </row>
    <row r="87" spans="2:29" x14ac:dyDescent="0.2">
      <c r="R87" s="76"/>
      <c r="S87" s="76"/>
      <c r="T87" s="16" t="s">
        <v>46</v>
      </c>
      <c r="U87" s="16" t="s">
        <v>47</v>
      </c>
      <c r="V87" s="16" t="s">
        <v>48</v>
      </c>
      <c r="W87" s="16" t="s">
        <v>5</v>
      </c>
    </row>
    <row r="88" spans="2:29" x14ac:dyDescent="0.2">
      <c r="B88" s="3" t="s">
        <v>44</v>
      </c>
      <c r="C88" s="76"/>
      <c r="D88" s="76"/>
      <c r="E88" s="76"/>
      <c r="F88" s="76"/>
      <c r="G88" s="76"/>
      <c r="R88" s="2" t="s">
        <v>6</v>
      </c>
      <c r="S88" s="1">
        <v>-14.95</v>
      </c>
      <c r="T88" s="1" t="s">
        <v>730</v>
      </c>
      <c r="U88" s="1" t="s">
        <v>41</v>
      </c>
      <c r="V88" s="1" t="s">
        <v>11</v>
      </c>
      <c r="W88" s="1">
        <v>4.4999999999999997E-3</v>
      </c>
    </row>
    <row r="89" spans="2:29" x14ac:dyDescent="0.2">
      <c r="B89" s="76"/>
      <c r="C89" s="16" t="s">
        <v>45</v>
      </c>
      <c r="D89" s="16" t="s">
        <v>46</v>
      </c>
      <c r="E89" s="16" t="s">
        <v>47</v>
      </c>
      <c r="F89" s="16" t="s">
        <v>48</v>
      </c>
      <c r="G89" s="16" t="s">
        <v>5</v>
      </c>
      <c r="R89" s="2" t="s">
        <v>7</v>
      </c>
      <c r="S89" s="1">
        <v>-14.51</v>
      </c>
      <c r="T89" s="1" t="s">
        <v>731</v>
      </c>
      <c r="U89" s="1" t="s">
        <v>41</v>
      </c>
      <c r="V89" s="1" t="s">
        <v>11</v>
      </c>
      <c r="W89" s="1">
        <v>5.4999999999999997E-3</v>
      </c>
    </row>
    <row r="90" spans="2:29" x14ac:dyDescent="0.2">
      <c r="B90" s="2" t="s">
        <v>6</v>
      </c>
      <c r="C90" s="1">
        <v>-5.6980000000000004</v>
      </c>
      <c r="D90" s="1" t="s">
        <v>724</v>
      </c>
      <c r="E90" s="1" t="s">
        <v>49</v>
      </c>
      <c r="F90" s="1" t="s">
        <v>9</v>
      </c>
      <c r="G90" s="1">
        <v>0.45939999999999998</v>
      </c>
      <c r="R90" s="2" t="s">
        <v>8</v>
      </c>
      <c r="S90" s="1">
        <v>-15.39</v>
      </c>
      <c r="T90" s="1" t="s">
        <v>732</v>
      </c>
      <c r="U90" s="1" t="s">
        <v>41</v>
      </c>
      <c r="V90" s="1" t="s">
        <v>11</v>
      </c>
      <c r="W90" s="1">
        <v>3.5999999999999999E-3</v>
      </c>
    </row>
    <row r="91" spans="2:29" x14ac:dyDescent="0.2">
      <c r="B91" s="2" t="s">
        <v>7</v>
      </c>
      <c r="C91" s="1">
        <v>-8.3330000000000002</v>
      </c>
      <c r="D91" s="1" t="s">
        <v>725</v>
      </c>
      <c r="E91" s="1" t="s">
        <v>49</v>
      </c>
      <c r="F91" s="1" t="s">
        <v>9</v>
      </c>
      <c r="G91" s="1">
        <v>0.1807</v>
      </c>
    </row>
    <row r="92" spans="2:29" x14ac:dyDescent="0.2">
      <c r="B92" s="2" t="s">
        <v>8</v>
      </c>
      <c r="C92" s="1">
        <v>-9.59</v>
      </c>
      <c r="D92" s="1" t="s">
        <v>726</v>
      </c>
      <c r="E92" s="1" t="s">
        <v>49</v>
      </c>
      <c r="F92" s="1" t="s">
        <v>9</v>
      </c>
      <c r="G92" s="1">
        <v>0.1074</v>
      </c>
    </row>
  </sheetData>
  <mergeCells count="16">
    <mergeCell ref="S11:T11"/>
    <mergeCell ref="S22:T22"/>
    <mergeCell ref="S29:T29"/>
    <mergeCell ref="S36:T36"/>
    <mergeCell ref="Z36:AB36"/>
    <mergeCell ref="Z29:AB29"/>
    <mergeCell ref="Z22:AB22"/>
    <mergeCell ref="Z11:AB11"/>
    <mergeCell ref="C11:D11"/>
    <mergeCell ref="C22:D22"/>
    <mergeCell ref="C29:D29"/>
    <mergeCell ref="C36:D36"/>
    <mergeCell ref="J36:L36"/>
    <mergeCell ref="J29:L29"/>
    <mergeCell ref="J22:L22"/>
    <mergeCell ref="J11:L11"/>
  </mergeCells>
  <pageMargins left="0.7" right="0.7" top="0.78740157499999996" bottom="0.78740157499999996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C154"/>
  <sheetViews>
    <sheetView zoomScale="77" zoomScaleNormal="77" zoomScalePageLayoutView="77" workbookViewId="0">
      <selection activeCell="U30" sqref="U30"/>
    </sheetView>
  </sheetViews>
  <sheetFormatPr baseColWidth="10" defaultRowHeight="16" x14ac:dyDescent="0.2"/>
  <cols>
    <col min="2" max="2" width="17.83203125" customWidth="1"/>
    <col min="3" max="3" width="16.5" customWidth="1"/>
    <col min="4" max="4" width="13.5" customWidth="1"/>
    <col min="5" max="5" width="12.6640625" customWidth="1"/>
    <col min="6" max="6" width="15.1640625" customWidth="1"/>
    <col min="7" max="8" width="15.33203125" customWidth="1"/>
    <col min="9" max="9" width="12.6640625" customWidth="1"/>
    <col min="10" max="10" width="11.6640625" customWidth="1"/>
    <col min="14" max="14" width="11.33203125" customWidth="1"/>
    <col min="23" max="23" width="10.5" customWidth="1"/>
    <col min="24" max="24" width="10.6640625" customWidth="1"/>
    <col min="25" max="25" width="10.83203125" customWidth="1"/>
    <col min="26" max="26" width="12" customWidth="1"/>
  </cols>
  <sheetData>
    <row r="2" spans="1:29" ht="18" x14ac:dyDescent="0.2">
      <c r="A2" s="53" t="s">
        <v>570</v>
      </c>
      <c r="B2" s="8"/>
    </row>
    <row r="3" spans="1:29" x14ac:dyDescent="0.2">
      <c r="A3" s="9"/>
      <c r="B3" s="9"/>
    </row>
    <row r="4" spans="1:29" ht="18" x14ac:dyDescent="0.2">
      <c r="A4" s="53" t="s">
        <v>580</v>
      </c>
      <c r="B4" s="53"/>
    </row>
    <row r="5" spans="1:29" x14ac:dyDescent="0.2">
      <c r="Q5" s="64"/>
      <c r="R5" s="64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</row>
    <row r="6" spans="1:29" x14ac:dyDescent="0.2">
      <c r="B6" s="52" t="s">
        <v>571</v>
      </c>
      <c r="C6" s="107"/>
      <c r="D6" s="504" t="s">
        <v>1</v>
      </c>
      <c r="E6" s="505"/>
      <c r="F6" s="505"/>
      <c r="G6" s="506"/>
      <c r="H6" s="504" t="s">
        <v>2</v>
      </c>
      <c r="I6" s="505"/>
      <c r="J6" s="506"/>
      <c r="K6" s="504" t="s">
        <v>3</v>
      </c>
      <c r="L6" s="506"/>
      <c r="M6" s="504" t="s">
        <v>4</v>
      </c>
      <c r="N6" s="505"/>
      <c r="O6" s="506"/>
      <c r="P6" s="9"/>
      <c r="Q6" s="58"/>
      <c r="R6" s="507"/>
      <c r="S6" s="507"/>
      <c r="T6" s="507"/>
      <c r="U6" s="507"/>
      <c r="V6" s="507"/>
      <c r="W6" s="507"/>
      <c r="X6" s="507"/>
      <c r="Y6" s="507"/>
      <c r="Z6" s="507"/>
      <c r="AA6" s="507"/>
      <c r="AB6" s="507"/>
      <c r="AC6" s="507"/>
    </row>
    <row r="7" spans="1:29" x14ac:dyDescent="0.2">
      <c r="B7" s="151" t="s">
        <v>581</v>
      </c>
      <c r="C7" s="9"/>
      <c r="D7" s="155" t="s">
        <v>32</v>
      </c>
      <c r="E7" s="155" t="s">
        <v>33</v>
      </c>
      <c r="F7" s="155" t="s">
        <v>34</v>
      </c>
      <c r="G7" s="155" t="s">
        <v>35</v>
      </c>
      <c r="H7" s="155" t="s">
        <v>32</v>
      </c>
      <c r="I7" s="155" t="s">
        <v>33</v>
      </c>
      <c r="J7" s="155" t="s">
        <v>34</v>
      </c>
      <c r="K7" s="155" t="s">
        <v>32</v>
      </c>
      <c r="L7" s="155" t="s">
        <v>33</v>
      </c>
      <c r="M7" s="155" t="s">
        <v>32</v>
      </c>
      <c r="N7" s="155" t="s">
        <v>33</v>
      </c>
      <c r="O7" s="155" t="s">
        <v>34</v>
      </c>
      <c r="Q7" s="64"/>
      <c r="R7" s="159"/>
      <c r="S7" s="159"/>
      <c r="T7" s="159"/>
      <c r="U7" s="159"/>
      <c r="V7" s="159"/>
    </row>
    <row r="8" spans="1:29" x14ac:dyDescent="0.2">
      <c r="B8" s="42"/>
      <c r="C8" s="55" t="s">
        <v>21</v>
      </c>
      <c r="D8" s="55">
        <v>35.836141533277164</v>
      </c>
      <c r="E8" s="55">
        <v>32.153358968559139</v>
      </c>
      <c r="F8" s="55">
        <v>29.760765550239231</v>
      </c>
      <c r="G8" s="55">
        <v>40.327695560253702</v>
      </c>
      <c r="H8" s="55">
        <v>39.62979995401242</v>
      </c>
      <c r="I8" s="55">
        <v>26.467358145210497</v>
      </c>
      <c r="J8" s="55">
        <v>27.671840354767191</v>
      </c>
      <c r="K8" s="55">
        <v>37.966567437600176</v>
      </c>
      <c r="L8" s="55">
        <v>32.797110965200268</v>
      </c>
      <c r="M8" s="55">
        <v>30.319843342036556</v>
      </c>
      <c r="N8" s="55">
        <v>33.184107442641299</v>
      </c>
      <c r="O8" s="55"/>
      <c r="Q8" s="143"/>
      <c r="R8" s="64"/>
      <c r="S8" s="64"/>
      <c r="T8" s="64"/>
      <c r="U8" s="64"/>
      <c r="V8" s="64"/>
    </row>
    <row r="9" spans="1:29" x14ac:dyDescent="0.2">
      <c r="B9" s="42"/>
      <c r="C9" s="55" t="s">
        <v>22</v>
      </c>
      <c r="D9" s="55">
        <v>18.798770394892411</v>
      </c>
      <c r="E9" s="55">
        <v>16.877040261153425</v>
      </c>
      <c r="F9" s="55">
        <v>15.547194865552727</v>
      </c>
      <c r="G9" s="55"/>
      <c r="H9" s="55">
        <v>28.750000000000004</v>
      </c>
      <c r="I9" s="55">
        <v>29.631618515734075</v>
      </c>
      <c r="J9" s="55"/>
      <c r="K9" s="55">
        <v>18.997420657171695</v>
      </c>
      <c r="L9" s="55">
        <v>25.882737576285962</v>
      </c>
      <c r="M9" s="55">
        <v>14.57615820464393</v>
      </c>
      <c r="N9" s="55">
        <v>13.250787444335831</v>
      </c>
      <c r="O9" s="55"/>
      <c r="Q9" s="143"/>
      <c r="R9" s="64"/>
      <c r="S9" s="64"/>
      <c r="T9" s="64"/>
      <c r="U9" s="58"/>
      <c r="V9" s="64"/>
    </row>
    <row r="10" spans="1:29" x14ac:dyDescent="0.2">
      <c r="B10" s="42"/>
      <c r="C10" s="55" t="s">
        <v>23</v>
      </c>
      <c r="D10" s="55">
        <v>60.753369427485318</v>
      </c>
      <c r="E10" s="55">
        <v>52.56324154913812</v>
      </c>
      <c r="F10" s="55">
        <v>50.592272777593273</v>
      </c>
      <c r="G10" s="55"/>
      <c r="H10" s="55">
        <v>23.216744698430183</v>
      </c>
      <c r="I10" s="55">
        <v>12.505928853754941</v>
      </c>
      <c r="J10" s="55">
        <v>18.46906987093903</v>
      </c>
      <c r="K10" s="55">
        <v>26.230944454179085</v>
      </c>
      <c r="L10" s="55">
        <v>27.715427049648088</v>
      </c>
      <c r="M10" s="55">
        <v>28.087193460490468</v>
      </c>
      <c r="N10" s="55">
        <v>22.712127943136384</v>
      </c>
      <c r="O10" s="55">
        <v>29.900673592875904</v>
      </c>
      <c r="Q10" s="143"/>
      <c r="R10" s="64"/>
      <c r="S10" s="64"/>
      <c r="T10" s="64"/>
      <c r="U10" s="58"/>
      <c r="V10" s="64"/>
    </row>
    <row r="11" spans="1:29" x14ac:dyDescent="0.2">
      <c r="B11" s="42"/>
      <c r="C11" s="55" t="s">
        <v>24</v>
      </c>
      <c r="D11" s="55">
        <v>69.005913198705798</v>
      </c>
      <c r="E11" s="55">
        <v>60.533647663951996</v>
      </c>
      <c r="F11" s="55">
        <v>59.653794940079898</v>
      </c>
      <c r="G11" s="55"/>
      <c r="H11" s="55">
        <v>59.159494802727174</v>
      </c>
      <c r="I11" s="55">
        <v>53.384615384615387</v>
      </c>
      <c r="J11" s="55"/>
      <c r="K11" s="55">
        <v>59.444853844264301</v>
      </c>
      <c r="L11" s="55">
        <v>68.765918036582548</v>
      </c>
      <c r="M11" s="55">
        <v>71.109407512868259</v>
      </c>
      <c r="N11" s="55">
        <v>65.804935370152748</v>
      </c>
      <c r="O11" s="55">
        <v>66.332242053015108</v>
      </c>
      <c r="Q11" s="143"/>
      <c r="R11" s="64"/>
      <c r="S11" s="64"/>
      <c r="T11" s="64"/>
      <c r="U11" s="58"/>
      <c r="V11" s="64"/>
    </row>
    <row r="12" spans="1:29" x14ac:dyDescent="0.2">
      <c r="B12" s="9"/>
      <c r="C12" s="107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Q12" s="143"/>
      <c r="R12" s="64"/>
      <c r="S12" s="64"/>
      <c r="T12" s="64"/>
      <c r="U12" s="58"/>
      <c r="V12" s="64"/>
    </row>
    <row r="13" spans="1:29" x14ac:dyDescent="0.2">
      <c r="B13" s="9"/>
      <c r="Q13" s="143"/>
      <c r="R13" s="64"/>
      <c r="S13" s="64"/>
      <c r="T13" s="64"/>
      <c r="U13" s="58"/>
      <c r="V13" s="64"/>
    </row>
    <row r="14" spans="1:29" x14ac:dyDescent="0.2">
      <c r="B14" s="9"/>
      <c r="C14" s="157" t="s">
        <v>1</v>
      </c>
      <c r="D14" s="152" t="s">
        <v>51</v>
      </c>
      <c r="E14" s="152" t="s">
        <v>13</v>
      </c>
      <c r="F14" s="152" t="s">
        <v>14</v>
      </c>
      <c r="G14" s="153" t="s">
        <v>2</v>
      </c>
      <c r="H14" s="152" t="s">
        <v>51</v>
      </c>
      <c r="I14" s="152" t="s">
        <v>13</v>
      </c>
      <c r="J14" s="152" t="s">
        <v>14</v>
      </c>
      <c r="K14" s="154" t="s">
        <v>3</v>
      </c>
      <c r="L14" s="152" t="s">
        <v>51</v>
      </c>
      <c r="M14" s="152" t="s">
        <v>13</v>
      </c>
      <c r="N14" s="152" t="s">
        <v>14</v>
      </c>
      <c r="O14" s="154" t="s">
        <v>4</v>
      </c>
      <c r="P14" s="152" t="s">
        <v>51</v>
      </c>
      <c r="Q14" s="160" t="s">
        <v>13</v>
      </c>
      <c r="R14" s="160" t="s">
        <v>14</v>
      </c>
      <c r="S14" s="9"/>
    </row>
    <row r="15" spans="1:29" x14ac:dyDescent="0.2">
      <c r="B15" s="42"/>
      <c r="C15" s="161" t="s">
        <v>21</v>
      </c>
      <c r="D15" s="55">
        <f>AVERAGE(D8:G8)</f>
        <v>34.519490403082308</v>
      </c>
      <c r="E15" s="55">
        <f>STDEV(D8:G8)</f>
        <v>4.6084291444027015</v>
      </c>
      <c r="F15" s="70">
        <f>E15/(4^0.5)</f>
        <v>2.3042145722013507</v>
      </c>
      <c r="G15" s="161" t="s">
        <v>21</v>
      </c>
      <c r="H15" s="55">
        <f>AVERAGE(H8:J8)</f>
        <v>31.256332817996707</v>
      </c>
      <c r="I15" s="55">
        <f>STDEV(H8:J8)</f>
        <v>7.2766000478750819</v>
      </c>
      <c r="J15" s="70">
        <f>I15/(3^0.5)</f>
        <v>4.2011469964259227</v>
      </c>
      <c r="K15" s="161" t="s">
        <v>21</v>
      </c>
      <c r="L15" s="55">
        <f>AVERAGE(K8:L8)</f>
        <v>35.381839201400226</v>
      </c>
      <c r="M15" s="55">
        <f>STDEV(K8:L8)</f>
        <v>3.6553577266826633</v>
      </c>
      <c r="N15" s="70">
        <f>M15/(2^0.5)</f>
        <v>2.5847282361999535</v>
      </c>
      <c r="O15" s="161" t="s">
        <v>21</v>
      </c>
      <c r="P15" s="55">
        <f>AVERAGE(M8:O8)</f>
        <v>31.751975392338927</v>
      </c>
      <c r="Q15" s="55">
        <f>STDEV(M8:O8)</f>
        <v>2.0253405686468011</v>
      </c>
      <c r="R15" s="70">
        <f>Q15/(2^0.5)</f>
        <v>1.4321320503023713</v>
      </c>
      <c r="S15" s="42"/>
      <c r="T15" s="9"/>
      <c r="U15" s="9"/>
      <c r="V15" s="9"/>
    </row>
    <row r="16" spans="1:29" x14ac:dyDescent="0.2">
      <c r="B16" s="42"/>
      <c r="C16" s="161" t="s">
        <v>22</v>
      </c>
      <c r="D16" s="55">
        <f>AVERAGE(D9:F9)</f>
        <v>17.074335173866189</v>
      </c>
      <c r="E16" s="55">
        <f>STDEV(D9:F9)</f>
        <v>1.634741514028109</v>
      </c>
      <c r="F16" s="70">
        <f>E16/(3^0.5)</f>
        <v>0.94381845317958513</v>
      </c>
      <c r="G16" s="161" t="s">
        <v>22</v>
      </c>
      <c r="H16" s="55">
        <f>AVERAGE(H9:J9)</f>
        <v>29.190809257867038</v>
      </c>
      <c r="I16" s="55">
        <f>STDEV(H9:J9)</f>
        <v>0.62339843089518121</v>
      </c>
      <c r="J16" s="70">
        <f>I16/(2^0.5)</f>
        <v>0.44080925786703595</v>
      </c>
      <c r="K16" s="161" t="s">
        <v>22</v>
      </c>
      <c r="L16" s="55">
        <f>AVERAGE(K9:L9)</f>
        <v>22.440079116728828</v>
      </c>
      <c r="M16" s="55">
        <f>STDEV(K9:L9)</f>
        <v>4.8686542841241556</v>
      </c>
      <c r="N16" s="70">
        <f t="shared" ref="N16:N18" si="0">M16/(2^0.5)</f>
        <v>3.4426584595571263</v>
      </c>
      <c r="O16" s="161" t="s">
        <v>22</v>
      </c>
      <c r="P16" s="55">
        <f>AVERAGE(M9:O9)</f>
        <v>13.91347282448988</v>
      </c>
      <c r="Q16" s="55">
        <f>STDEV(M9:O9)</f>
        <v>0.93717865220022678</v>
      </c>
      <c r="R16" s="70">
        <f t="shared" ref="R16" si="1">Q16/(2^0.5)</f>
        <v>0.66268538015404921</v>
      </c>
      <c r="S16" s="42"/>
      <c r="T16" s="9"/>
      <c r="U16" s="9"/>
      <c r="V16" s="9"/>
    </row>
    <row r="17" spans="2:29" x14ac:dyDescent="0.2">
      <c r="B17" s="42"/>
      <c r="C17" s="161" t="s">
        <v>23</v>
      </c>
      <c r="D17" s="55">
        <f>AVERAGE(D10:F10)</f>
        <v>54.636294584738899</v>
      </c>
      <c r="E17" s="55">
        <f>STDEV(D10:F10)</f>
        <v>5.3884258321352121</v>
      </c>
      <c r="F17" s="70">
        <f t="shared" ref="F17:F18" si="2">E17/(3^0.5)</f>
        <v>3.1110091046915982</v>
      </c>
      <c r="G17" s="161" t="s">
        <v>23</v>
      </c>
      <c r="H17" s="55">
        <f>AVERAGE(H10:J10)</f>
        <v>18.06391447437472</v>
      </c>
      <c r="I17" s="55">
        <f>STDEV(H10:J10)</f>
        <v>5.3668898988297125</v>
      </c>
      <c r="J17" s="70">
        <f>I17/(3^0.5)</f>
        <v>3.0985753278004182</v>
      </c>
      <c r="K17" s="161" t="s">
        <v>23</v>
      </c>
      <c r="L17" s="55">
        <f>AVERAGE(K10:L10)</f>
        <v>26.973185751913586</v>
      </c>
      <c r="M17" s="55">
        <f>STDEV(K10:L10)</f>
        <v>1.049687709809539</v>
      </c>
      <c r="N17" s="70">
        <f t="shared" si="0"/>
        <v>0.74224129773450176</v>
      </c>
      <c r="O17" s="161" t="s">
        <v>23</v>
      </c>
      <c r="P17" s="55">
        <f>AVERAGE(M10:O10)</f>
        <v>26.899998332167584</v>
      </c>
      <c r="Q17" s="55">
        <f>STDEV(M10:O10)</f>
        <v>3.7384316690468515</v>
      </c>
      <c r="R17" s="70">
        <f>Q17/(3^0.5)</f>
        <v>2.1583845304712219</v>
      </c>
      <c r="S17" s="42"/>
      <c r="T17" s="9"/>
      <c r="U17" s="9"/>
      <c r="V17" s="9"/>
    </row>
    <row r="18" spans="2:29" x14ac:dyDescent="0.2">
      <c r="B18" s="42"/>
      <c r="C18" s="161" t="s">
        <v>24</v>
      </c>
      <c r="D18" s="55">
        <f>AVERAGE(D11:F11)</f>
        <v>63.064451934245902</v>
      </c>
      <c r="E18" s="55">
        <f>STDEV(D11:F11)</f>
        <v>5.1642285650166935</v>
      </c>
      <c r="F18" s="70">
        <f t="shared" si="2"/>
        <v>2.9815687521691427</v>
      </c>
      <c r="G18" s="161" t="s">
        <v>24</v>
      </c>
      <c r="H18" s="55">
        <f>AVERAGE(H11:J11)</f>
        <v>56.272055093671284</v>
      </c>
      <c r="I18" s="55">
        <f>STDEV(H11:J11)</f>
        <v>4.0834563970814681</v>
      </c>
      <c r="J18" s="70">
        <f>I18/(2^0.5)</f>
        <v>2.8874397090558932</v>
      </c>
      <c r="K18" s="161" t="s">
        <v>24</v>
      </c>
      <c r="L18" s="55">
        <f>AVERAGE(K11:L11)</f>
        <v>64.105385940423417</v>
      </c>
      <c r="M18" s="55">
        <f>STDEV(K11:L11)</f>
        <v>6.5909876982633415</v>
      </c>
      <c r="N18" s="70">
        <f t="shared" si="0"/>
        <v>4.6605320961591232</v>
      </c>
      <c r="O18" s="161" t="s">
        <v>24</v>
      </c>
      <c r="P18" s="55">
        <f>AVERAGE(M11:O11)</f>
        <v>67.748861645345372</v>
      </c>
      <c r="Q18" s="55">
        <f>STDEV(M11:O11)</f>
        <v>2.9222362122596612</v>
      </c>
      <c r="R18" s="70">
        <f>Q18/(3^0.5)</f>
        <v>1.687153863783788</v>
      </c>
      <c r="S18" s="42"/>
    </row>
    <row r="19" spans="2:29" x14ac:dyDescent="0.2"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</row>
    <row r="20" spans="2:29" x14ac:dyDescent="0.2"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</row>
    <row r="21" spans="2:29" x14ac:dyDescent="0.2"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</row>
    <row r="22" spans="2:29" x14ac:dyDescent="0.2">
      <c r="B22" s="52" t="s">
        <v>572</v>
      </c>
      <c r="C22" s="107"/>
      <c r="D22" s="504" t="s">
        <v>1</v>
      </c>
      <c r="E22" s="505"/>
      <c r="F22" s="505"/>
      <c r="G22" s="506"/>
      <c r="H22" s="504" t="s">
        <v>2</v>
      </c>
      <c r="I22" s="505"/>
      <c r="J22" s="506"/>
      <c r="K22" s="504" t="s">
        <v>3</v>
      </c>
      <c r="L22" s="506"/>
      <c r="M22" s="504" t="s">
        <v>4</v>
      </c>
      <c r="N22" s="505"/>
      <c r="O22" s="506"/>
      <c r="P22" s="9"/>
      <c r="Q22" s="9"/>
      <c r="R22" s="9"/>
      <c r="S22" s="9"/>
    </row>
    <row r="23" spans="2:29" x14ac:dyDescent="0.2">
      <c r="B23" s="151" t="s">
        <v>581</v>
      </c>
      <c r="C23" s="9"/>
      <c r="D23" s="155" t="s">
        <v>32</v>
      </c>
      <c r="E23" s="155" t="s">
        <v>33</v>
      </c>
      <c r="F23" s="155" t="s">
        <v>34</v>
      </c>
      <c r="G23" s="155" t="s">
        <v>35</v>
      </c>
      <c r="H23" s="155" t="s">
        <v>32</v>
      </c>
      <c r="I23" s="155" t="s">
        <v>33</v>
      </c>
      <c r="J23" s="155" t="s">
        <v>34</v>
      </c>
      <c r="K23" s="155" t="s">
        <v>32</v>
      </c>
      <c r="L23" s="155" t="s">
        <v>33</v>
      </c>
      <c r="M23" s="155" t="s">
        <v>32</v>
      </c>
      <c r="N23" s="155" t="s">
        <v>33</v>
      </c>
      <c r="O23" s="155" t="s">
        <v>34</v>
      </c>
      <c r="P23" s="9"/>
      <c r="Q23" s="9"/>
      <c r="R23" s="9"/>
      <c r="S23" s="9"/>
      <c r="Z23" s="79"/>
      <c r="AA23" s="79"/>
      <c r="AB23" s="79"/>
      <c r="AC23" s="79"/>
    </row>
    <row r="24" spans="2:29" x14ac:dyDescent="0.2">
      <c r="B24" s="9"/>
      <c r="C24" s="161" t="s">
        <v>21</v>
      </c>
      <c r="D24" s="55">
        <v>31.192080876158379</v>
      </c>
      <c r="E24" s="55">
        <v>41.879665234109922</v>
      </c>
      <c r="F24" s="55">
        <v>29.654439128123339</v>
      </c>
      <c r="G24" s="55">
        <v>36.2262156448203</v>
      </c>
      <c r="H24" s="55">
        <v>30.616233616923434</v>
      </c>
      <c r="I24" s="55">
        <v>35.033557046979865</v>
      </c>
      <c r="J24" s="55">
        <v>34.223946784922397</v>
      </c>
      <c r="K24" s="55">
        <v>36.798717655140827</v>
      </c>
      <c r="L24" s="55">
        <v>32.49069818340994</v>
      </c>
      <c r="M24" s="55">
        <v>34.802001740644037</v>
      </c>
      <c r="N24" s="55">
        <v>29.983212087297144</v>
      </c>
      <c r="O24" s="55"/>
      <c r="P24" s="9"/>
      <c r="Q24" s="9"/>
      <c r="R24" s="9"/>
      <c r="S24" s="9"/>
      <c r="Z24" s="79"/>
      <c r="AA24" s="79"/>
      <c r="AB24" s="79"/>
      <c r="AC24" s="79"/>
    </row>
    <row r="25" spans="2:29" x14ac:dyDescent="0.2">
      <c r="B25" s="9"/>
      <c r="C25" s="161" t="s">
        <v>22</v>
      </c>
      <c r="D25" s="55">
        <v>18.231260345235281</v>
      </c>
      <c r="E25" s="55">
        <v>32.295973884657236</v>
      </c>
      <c r="F25" s="55">
        <v>32.898085647892003</v>
      </c>
      <c r="G25" s="55"/>
      <c r="H25" s="55">
        <v>23.255494505494507</v>
      </c>
      <c r="I25" s="55">
        <v>19.138653205885511</v>
      </c>
      <c r="J25" s="55"/>
      <c r="K25" s="55">
        <v>24.526185936974322</v>
      </c>
      <c r="L25" s="55">
        <v>31.255448997384484</v>
      </c>
      <c r="M25" s="55">
        <v>23.697366959226748</v>
      </c>
      <c r="N25" s="55">
        <v>26.13229064841968</v>
      </c>
      <c r="O25" s="55"/>
      <c r="P25" s="9"/>
      <c r="Q25" s="9"/>
      <c r="R25" s="9"/>
      <c r="S25" s="9"/>
      <c r="Z25" s="79"/>
      <c r="AA25" s="79"/>
      <c r="AB25" s="79"/>
      <c r="AC25" s="79"/>
    </row>
    <row r="26" spans="2:29" x14ac:dyDescent="0.2">
      <c r="B26" s="9"/>
      <c r="C26" s="161" t="s">
        <v>23</v>
      </c>
      <c r="D26" s="55">
        <v>11.185347310217718</v>
      </c>
      <c r="E26" s="55">
        <v>12.413252742332661</v>
      </c>
      <c r="F26" s="55">
        <v>20.845787667441602</v>
      </c>
      <c r="G26" s="55"/>
      <c r="H26" s="55">
        <v>23.395758744147614</v>
      </c>
      <c r="I26" s="55">
        <v>31.415019762845851</v>
      </c>
      <c r="J26" s="55">
        <v>26.613262127280823</v>
      </c>
      <c r="K26" s="55">
        <v>31.732959523392328</v>
      </c>
      <c r="L26" s="55">
        <v>22.82670724747955</v>
      </c>
      <c r="M26" s="55">
        <v>26.975476839237061</v>
      </c>
      <c r="N26" s="55">
        <v>21.03509551310529</v>
      </c>
      <c r="O26" s="55">
        <v>15.686722228564905</v>
      </c>
      <c r="P26" s="9"/>
      <c r="Q26" s="9"/>
      <c r="R26" s="9"/>
      <c r="S26" s="9"/>
    </row>
    <row r="27" spans="2:29" x14ac:dyDescent="0.2">
      <c r="B27" s="9"/>
      <c r="C27" s="161" t="s">
        <v>24</v>
      </c>
      <c r="D27" s="55">
        <v>12.785897578935629</v>
      </c>
      <c r="E27" s="55">
        <v>19.706386626660954</v>
      </c>
      <c r="F27" s="55">
        <v>18.351289190170682</v>
      </c>
      <c r="G27" s="55"/>
      <c r="H27" s="55">
        <v>18.531351290935508</v>
      </c>
      <c r="I27" s="55">
        <v>19.714285714285715</v>
      </c>
      <c r="J27" s="55"/>
      <c r="K27" s="55">
        <v>17.219356423483173</v>
      </c>
      <c r="L27" s="55">
        <v>13.324843713822645</v>
      </c>
      <c r="M27" s="55">
        <v>12.4082794874603</v>
      </c>
      <c r="N27" s="55">
        <v>15.90642025424634</v>
      </c>
      <c r="O27" s="55">
        <v>11.901995986904636</v>
      </c>
      <c r="P27" s="9"/>
      <c r="Q27" s="9"/>
      <c r="R27" s="9"/>
      <c r="S27" s="9"/>
    </row>
    <row r="28" spans="2:29" x14ac:dyDescent="0.2">
      <c r="B28" s="9"/>
      <c r="C28" s="107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9"/>
      <c r="Q28" s="9"/>
      <c r="R28" s="9"/>
      <c r="S28" s="9"/>
    </row>
    <row r="29" spans="2:29" x14ac:dyDescent="0.2">
      <c r="B29" s="9"/>
      <c r="C29" s="107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9"/>
      <c r="Q29" s="9"/>
      <c r="R29" s="9"/>
      <c r="S29" s="9"/>
    </row>
    <row r="30" spans="2:29" x14ac:dyDescent="0.2">
      <c r="B30" s="9"/>
      <c r="C30" s="157" t="s">
        <v>1</v>
      </c>
      <c r="D30" s="152" t="s">
        <v>51</v>
      </c>
      <c r="E30" s="152" t="s">
        <v>13</v>
      </c>
      <c r="F30" s="152" t="s">
        <v>14</v>
      </c>
      <c r="G30" s="153" t="s">
        <v>2</v>
      </c>
      <c r="H30" s="152" t="s">
        <v>51</v>
      </c>
      <c r="I30" s="152" t="s">
        <v>13</v>
      </c>
      <c r="J30" s="152" t="s">
        <v>14</v>
      </c>
      <c r="K30" s="154" t="s">
        <v>3</v>
      </c>
      <c r="L30" s="152" t="s">
        <v>51</v>
      </c>
      <c r="M30" s="152" t="s">
        <v>13</v>
      </c>
      <c r="N30" s="152" t="s">
        <v>14</v>
      </c>
      <c r="O30" s="154" t="s">
        <v>4</v>
      </c>
      <c r="P30" s="152" t="s">
        <v>51</v>
      </c>
      <c r="Q30" s="152" t="s">
        <v>13</v>
      </c>
      <c r="R30" s="152" t="s">
        <v>14</v>
      </c>
      <c r="S30" s="9"/>
    </row>
    <row r="31" spans="2:29" x14ac:dyDescent="0.2">
      <c r="B31" s="42"/>
      <c r="C31" s="161" t="s">
        <v>21</v>
      </c>
      <c r="D31" s="55">
        <f>AVERAGE(D24:G24)</f>
        <v>34.738100220802984</v>
      </c>
      <c r="E31" s="55">
        <f>STDEV(D24:G24)</f>
        <v>5.5267320558749402</v>
      </c>
      <c r="F31" s="70">
        <f>E31/(4^0.5)</f>
        <v>2.7633660279374701</v>
      </c>
      <c r="G31" s="161" t="s">
        <v>21</v>
      </c>
      <c r="H31" s="55">
        <f>AVERAGE(H24:J24)</f>
        <v>33.291245816275229</v>
      </c>
      <c r="I31" s="55">
        <f>STDEV(H24:J24)</f>
        <v>2.3517301916074254</v>
      </c>
      <c r="J31" s="70">
        <f>I31/(3^0.5)</f>
        <v>1.3577720591859173</v>
      </c>
      <c r="K31" s="161" t="s">
        <v>21</v>
      </c>
      <c r="L31" s="55">
        <f>AVERAGE(K24:L24)</f>
        <v>34.644707919275383</v>
      </c>
      <c r="M31" s="55">
        <f>STDEV(K24:L24)</f>
        <v>3.0462297819445983</v>
      </c>
      <c r="N31" s="70">
        <f>M31/(2^0.5)</f>
        <v>2.1540097358654431</v>
      </c>
      <c r="O31" s="161" t="s">
        <v>21</v>
      </c>
      <c r="P31" s="55">
        <f>AVERAGE(M24:O24)</f>
        <v>32.392606913970589</v>
      </c>
      <c r="Q31" s="55">
        <f>STDEV(M24:O24)</f>
        <v>3.407398840993161</v>
      </c>
      <c r="R31" s="70">
        <f>Q31/(3^0.5)</f>
        <v>1.9672626380838205</v>
      </c>
      <c r="S31" s="9"/>
    </row>
    <row r="32" spans="2:29" x14ac:dyDescent="0.2">
      <c r="B32" s="42"/>
      <c r="C32" s="161" t="s">
        <v>22</v>
      </c>
      <c r="D32" s="55">
        <f>AVERAGE(D25:G25)</f>
        <v>27.808439959261506</v>
      </c>
      <c r="E32" s="55">
        <f>STDEV(D25:G25)</f>
        <v>8.2995428586968654</v>
      </c>
      <c r="F32" s="70">
        <f>E32/(3^0.5)</f>
        <v>4.7917433036194712</v>
      </c>
      <c r="G32" s="161" t="s">
        <v>22</v>
      </c>
      <c r="H32" s="55">
        <f>AVERAGE(H25:J25)</f>
        <v>21.197073855690007</v>
      </c>
      <c r="I32" s="55">
        <f>STDEV(H25:J25)</f>
        <v>2.9110464000223604</v>
      </c>
      <c r="J32" s="70">
        <f>I32/(2^0.5)</f>
        <v>2.0584206498044981</v>
      </c>
      <c r="K32" s="161" t="s">
        <v>22</v>
      </c>
      <c r="L32" s="55">
        <f>AVERAGE(K25:L25)</f>
        <v>27.890817467179403</v>
      </c>
      <c r="M32" s="55">
        <f>STDEV(K25:L25)</f>
        <v>4.7583075424041752</v>
      </c>
      <c r="N32" s="70">
        <f t="shared" ref="N32:N34" si="3">M32/(2^0.5)</f>
        <v>3.3646315302050875</v>
      </c>
      <c r="O32" s="161" t="s">
        <v>22</v>
      </c>
      <c r="P32" s="55">
        <f>AVERAGE(M25:O25)</f>
        <v>24.914828803823212</v>
      </c>
      <c r="Q32" s="55">
        <f>STDEV(M25:O25)</f>
        <v>1.7217510523000874</v>
      </c>
      <c r="R32" s="70">
        <f>Q32/(2^0.5)</f>
        <v>1.2174618445964658</v>
      </c>
      <c r="S32" s="9"/>
    </row>
    <row r="33" spans="2:29" x14ac:dyDescent="0.2">
      <c r="B33" s="42"/>
      <c r="C33" s="161" t="s">
        <v>23</v>
      </c>
      <c r="D33" s="55">
        <f>AVERAGE(D26:G26)</f>
        <v>14.814795906663994</v>
      </c>
      <c r="E33" s="55">
        <f>STDEV(D26:G26)</f>
        <v>5.2589527618604768</v>
      </c>
      <c r="F33" s="70">
        <f t="shared" ref="F33:F34" si="4">E33/(3^0.5)</f>
        <v>3.0362577927156722</v>
      </c>
      <c r="G33" s="161" t="s">
        <v>23</v>
      </c>
      <c r="H33" s="55">
        <f>AVERAGE(H26:J26)</f>
        <v>27.141346878091429</v>
      </c>
      <c r="I33" s="55">
        <f>STDEV(H26:J26)</f>
        <v>4.0356278259438323</v>
      </c>
      <c r="J33" s="70">
        <f t="shared" ref="J33" si="5">I33/(3^0.5)</f>
        <v>2.3299708116578159</v>
      </c>
      <c r="K33" s="161" t="s">
        <v>23</v>
      </c>
      <c r="L33" s="55">
        <f>AVERAGE(K26:L26)</f>
        <v>27.279833385435939</v>
      </c>
      <c r="M33" s="55">
        <f>STDEV(K26:L26)</f>
        <v>6.297671379256057</v>
      </c>
      <c r="N33" s="70">
        <f t="shared" si="3"/>
        <v>4.4531261379563958</v>
      </c>
      <c r="O33" s="161" t="s">
        <v>23</v>
      </c>
      <c r="P33" s="55">
        <f>AVERAGE(M26:O26)</f>
        <v>21.232431526969084</v>
      </c>
      <c r="Q33" s="55">
        <f>STDEV(M26:O26)</f>
        <v>5.6469639003422651</v>
      </c>
      <c r="R33" s="70">
        <f t="shared" ref="R33" si="6">Q33/(3^0.5)</f>
        <v>3.2602761279667059</v>
      </c>
      <c r="S33" s="9"/>
    </row>
    <row r="34" spans="2:29" x14ac:dyDescent="0.2">
      <c r="B34" s="42"/>
      <c r="C34" s="161" t="s">
        <v>24</v>
      </c>
      <c r="D34" s="55">
        <f>AVERAGE(D27:G27)</f>
        <v>16.947857798589087</v>
      </c>
      <c r="E34" s="55">
        <f>STDEV(D27:G27)</f>
        <v>3.6674932744422373</v>
      </c>
      <c r="F34" s="70">
        <f t="shared" si="4"/>
        <v>2.1174282292503679</v>
      </c>
      <c r="G34" s="161" t="s">
        <v>24</v>
      </c>
      <c r="H34" s="55">
        <f>AVERAGE(H27:J27)</f>
        <v>19.122818502610613</v>
      </c>
      <c r="I34" s="55">
        <f>STDEV(H27:J27)</f>
        <v>0.83646095244993013</v>
      </c>
      <c r="J34" s="70">
        <f>I34/(2^0.5)</f>
        <v>0.59146721167510385</v>
      </c>
      <c r="K34" s="161" t="s">
        <v>24</v>
      </c>
      <c r="L34" s="55">
        <f>AVERAGE(K27:L27)</f>
        <v>15.272100068652909</v>
      </c>
      <c r="M34" s="55">
        <f>STDEV(K27:L27)</f>
        <v>2.7538363464181463</v>
      </c>
      <c r="N34" s="70">
        <f t="shared" si="3"/>
        <v>1.9472563548302575</v>
      </c>
      <c r="O34" s="161" t="s">
        <v>24</v>
      </c>
      <c r="P34" s="55">
        <f>AVERAGE(M27:O27)</f>
        <v>13.405565242870425</v>
      </c>
      <c r="Q34" s="55">
        <f>STDEV(M27:O27)</f>
        <v>2.1805475428609076</v>
      </c>
      <c r="R34" s="70">
        <f>Q34/(3^0.5)</f>
        <v>1.2589397108515221</v>
      </c>
      <c r="S34" s="9"/>
    </row>
    <row r="35" spans="2:29" x14ac:dyDescent="0.2">
      <c r="B35" s="42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42"/>
      <c r="Q35" s="42"/>
      <c r="R35" s="42"/>
      <c r="S35" s="9"/>
    </row>
    <row r="36" spans="2:29" x14ac:dyDescent="0.2"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</row>
    <row r="37" spans="2:29" x14ac:dyDescent="0.2"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</row>
    <row r="38" spans="2:29" x14ac:dyDescent="0.2"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</row>
    <row r="39" spans="2:29" x14ac:dyDescent="0.2">
      <c r="B39" s="52" t="s">
        <v>573</v>
      </c>
      <c r="C39" s="107"/>
      <c r="D39" s="504" t="s">
        <v>1</v>
      </c>
      <c r="E39" s="505"/>
      <c r="F39" s="505"/>
      <c r="G39" s="506"/>
      <c r="H39" s="504" t="s">
        <v>2</v>
      </c>
      <c r="I39" s="505"/>
      <c r="J39" s="506"/>
      <c r="K39" s="504" t="s">
        <v>3</v>
      </c>
      <c r="L39" s="506"/>
      <c r="M39" s="504" t="s">
        <v>4</v>
      </c>
      <c r="N39" s="505"/>
      <c r="O39" s="506"/>
      <c r="P39" s="9"/>
      <c r="Q39" s="9"/>
      <c r="R39" s="9"/>
      <c r="S39" s="9"/>
    </row>
    <row r="40" spans="2:29" x14ac:dyDescent="0.2">
      <c r="B40" s="151" t="s">
        <v>581</v>
      </c>
      <c r="C40" s="9"/>
      <c r="D40" s="155" t="s">
        <v>32</v>
      </c>
      <c r="E40" s="155" t="s">
        <v>33</v>
      </c>
      <c r="F40" s="155" t="s">
        <v>34</v>
      </c>
      <c r="G40" s="155" t="s">
        <v>35</v>
      </c>
      <c r="H40" s="155" t="s">
        <v>32</v>
      </c>
      <c r="I40" s="155" t="s">
        <v>33</v>
      </c>
      <c r="J40" s="155" t="s">
        <v>34</v>
      </c>
      <c r="K40" s="155" t="s">
        <v>32</v>
      </c>
      <c r="L40" s="155" t="s">
        <v>33</v>
      </c>
      <c r="M40" s="155" t="s">
        <v>32</v>
      </c>
      <c r="N40" s="155" t="s">
        <v>33</v>
      </c>
      <c r="O40" s="155" t="s">
        <v>34</v>
      </c>
      <c r="P40" s="9"/>
      <c r="Q40" s="9"/>
      <c r="R40" s="9"/>
      <c r="S40" s="9"/>
    </row>
    <row r="41" spans="2:29" x14ac:dyDescent="0.2">
      <c r="B41" s="42"/>
      <c r="C41" s="55" t="s">
        <v>21</v>
      </c>
      <c r="D41" s="55">
        <v>32.971777590564443</v>
      </c>
      <c r="E41" s="55">
        <v>25.966975797330917</v>
      </c>
      <c r="F41" s="55">
        <v>40.584795321637429</v>
      </c>
      <c r="G41" s="55">
        <v>23.446088794926006</v>
      </c>
      <c r="H41" s="55">
        <v>29.753966429064153</v>
      </c>
      <c r="I41" s="55">
        <v>38.499084807809645</v>
      </c>
      <c r="J41" s="55">
        <v>38.104212860310419</v>
      </c>
      <c r="K41" s="55">
        <v>25.234714907258986</v>
      </c>
      <c r="L41" s="55">
        <v>34.712190851389799</v>
      </c>
      <c r="M41" s="55">
        <v>34.878154917319407</v>
      </c>
      <c r="N41" s="55">
        <v>36.832680470061554</v>
      </c>
      <c r="O41" s="55"/>
      <c r="P41" s="42"/>
      <c r="Q41" s="42"/>
      <c r="R41" s="9"/>
      <c r="S41" s="9"/>
    </row>
    <row r="42" spans="2:29" x14ac:dyDescent="0.2">
      <c r="B42" s="42"/>
      <c r="C42" s="55" t="s">
        <v>22</v>
      </c>
      <c r="D42" s="55">
        <v>62.969969259872308</v>
      </c>
      <c r="E42" s="55">
        <v>50.826985854189331</v>
      </c>
      <c r="F42" s="55">
        <v>51.554719486555278</v>
      </c>
      <c r="G42" s="55"/>
      <c r="H42" s="55">
        <v>47.994505494505489</v>
      </c>
      <c r="I42" s="55">
        <v>51.229728278380414</v>
      </c>
      <c r="J42" s="55"/>
      <c r="K42" s="55">
        <v>56.476393405853983</v>
      </c>
      <c r="L42" s="55">
        <v>42.861813426329562</v>
      </c>
      <c r="M42" s="55">
        <v>61.726474836129327</v>
      </c>
      <c r="N42" s="55">
        <v>60.616921907244489</v>
      </c>
      <c r="O42" s="55"/>
      <c r="P42" s="42"/>
      <c r="Q42" s="42"/>
      <c r="R42" s="9"/>
      <c r="S42" s="9"/>
      <c r="Z42" s="79"/>
      <c r="AA42" s="79"/>
      <c r="AB42" s="79"/>
      <c r="AC42" s="79"/>
    </row>
    <row r="43" spans="2:29" x14ac:dyDescent="0.2">
      <c r="B43" s="42"/>
      <c r="C43" s="55" t="s">
        <v>23</v>
      </c>
      <c r="D43" s="55">
        <v>28.061283262296971</v>
      </c>
      <c r="E43" s="55">
        <v>35.023505708529214</v>
      </c>
      <c r="F43" s="55">
        <v>28.561939554965125</v>
      </c>
      <c r="G43" s="55"/>
      <c r="H43" s="55">
        <v>53.387496557422196</v>
      </c>
      <c r="I43" s="55">
        <v>56.079051383399204</v>
      </c>
      <c r="J43" s="55">
        <v>54.917668001780164</v>
      </c>
      <c r="K43" s="55">
        <v>42.036096022428595</v>
      </c>
      <c r="L43" s="55">
        <v>49.457865702872361</v>
      </c>
      <c r="M43" s="55">
        <v>44.937329700272478</v>
      </c>
      <c r="N43" s="55">
        <v>56.25277654375833</v>
      </c>
      <c r="O43" s="55">
        <v>54.412604178559185</v>
      </c>
      <c r="P43" s="42"/>
      <c r="Q43" s="42"/>
      <c r="R43" s="9"/>
      <c r="S43" s="9"/>
      <c r="Z43" s="79"/>
      <c r="AA43" s="79"/>
      <c r="AB43" s="79"/>
      <c r="AC43" s="79"/>
    </row>
    <row r="44" spans="2:29" x14ac:dyDescent="0.2">
      <c r="B44" s="42"/>
      <c r="C44" s="55" t="s">
        <v>24</v>
      </c>
      <c r="D44" s="55">
        <v>18.208189222358588</v>
      </c>
      <c r="E44" s="55">
        <v>19.75996570938706</v>
      </c>
      <c r="F44" s="55">
        <v>21.994915869749427</v>
      </c>
      <c r="G44" s="55"/>
      <c r="H44" s="55">
        <v>22.309153906337322</v>
      </c>
      <c r="I44" s="55">
        <v>26.901098901098901</v>
      </c>
      <c r="J44" s="55"/>
      <c r="K44" s="55">
        <v>23.335789732252518</v>
      </c>
      <c r="L44" s="55">
        <v>17.909238249594818</v>
      </c>
      <c r="M44" s="55">
        <v>16.48231299967145</v>
      </c>
      <c r="N44" s="55">
        <v>18.288644375600896</v>
      </c>
      <c r="O44" s="55">
        <v>21.765761960080262</v>
      </c>
      <c r="P44" s="42"/>
      <c r="Q44" s="42"/>
      <c r="R44" s="9"/>
      <c r="S44" s="9"/>
      <c r="Z44" s="79"/>
      <c r="AA44" s="79"/>
      <c r="AB44" s="79"/>
      <c r="AC44" s="79"/>
    </row>
    <row r="45" spans="2:29" x14ac:dyDescent="0.2">
      <c r="B45" s="9"/>
      <c r="C45" s="107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9"/>
      <c r="Q45" s="9"/>
      <c r="R45" s="9"/>
      <c r="S45" s="9"/>
    </row>
    <row r="46" spans="2:29" x14ac:dyDescent="0.2">
      <c r="B46" s="9"/>
      <c r="C46" s="107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9"/>
      <c r="Q46" s="9"/>
      <c r="R46" s="9"/>
      <c r="S46" s="9"/>
    </row>
    <row r="47" spans="2:29" x14ac:dyDescent="0.2">
      <c r="B47" s="9"/>
      <c r="C47" s="157" t="s">
        <v>1</v>
      </c>
      <c r="D47" s="152" t="s">
        <v>51</v>
      </c>
      <c r="E47" s="152" t="s">
        <v>13</v>
      </c>
      <c r="F47" s="152" t="s">
        <v>14</v>
      </c>
      <c r="G47" s="153" t="s">
        <v>2</v>
      </c>
      <c r="H47" s="152" t="s">
        <v>51</v>
      </c>
      <c r="I47" s="152" t="s">
        <v>13</v>
      </c>
      <c r="J47" s="152" t="s">
        <v>14</v>
      </c>
      <c r="K47" s="154" t="s">
        <v>3</v>
      </c>
      <c r="L47" s="152" t="s">
        <v>51</v>
      </c>
      <c r="M47" s="152" t="s">
        <v>13</v>
      </c>
      <c r="N47" s="152" t="s">
        <v>14</v>
      </c>
      <c r="O47" s="154" t="s">
        <v>4</v>
      </c>
      <c r="P47" s="152" t="s">
        <v>51</v>
      </c>
      <c r="Q47" s="152" t="s">
        <v>13</v>
      </c>
      <c r="R47" s="152" t="s">
        <v>14</v>
      </c>
      <c r="S47" s="9"/>
    </row>
    <row r="48" spans="2:29" x14ac:dyDescent="0.2">
      <c r="B48" s="42"/>
      <c r="C48" s="161" t="s">
        <v>21</v>
      </c>
      <c r="D48" s="55">
        <f>AVERAGE(D41:G41)</f>
        <v>30.742409376114701</v>
      </c>
      <c r="E48" s="55">
        <f>STDEV(D41:G41)</f>
        <v>7.7002966095485714</v>
      </c>
      <c r="F48" s="70">
        <f>E48/(4^0.5)</f>
        <v>3.8501483047742857</v>
      </c>
      <c r="G48" s="161" t="s">
        <v>21</v>
      </c>
      <c r="H48" s="55">
        <f>AVERAGE(H41:J41)</f>
        <v>35.452421365728071</v>
      </c>
      <c r="I48" s="55">
        <f>STDEV(H41:J41)</f>
        <v>4.9389545920794502</v>
      </c>
      <c r="J48" s="70">
        <f>I48/(3^0.5)</f>
        <v>2.8515067632524089</v>
      </c>
      <c r="K48" s="161" t="s">
        <v>21</v>
      </c>
      <c r="L48" s="55">
        <f>AVERAGE(K41:L41)</f>
        <v>29.973452879324391</v>
      </c>
      <c r="M48" s="55">
        <f>STDEV(K41:L41)</f>
        <v>6.7015875086273056</v>
      </c>
      <c r="N48" s="70">
        <f>M48/(2^0.5)</f>
        <v>4.7387379720654277</v>
      </c>
      <c r="O48" s="161" t="s">
        <v>21</v>
      </c>
      <c r="P48" s="55">
        <f>AVERAGE(M41:O41)</f>
        <v>35.855417693690484</v>
      </c>
      <c r="Q48" s="55">
        <f>STDEV(M41:O41)</f>
        <v>1.3820582723463575</v>
      </c>
      <c r="R48" s="70">
        <f>Q48/(3^0.5)</f>
        <v>0.7979317155749186</v>
      </c>
      <c r="S48" s="42"/>
    </row>
    <row r="49" spans="1:29" x14ac:dyDescent="0.2">
      <c r="B49" s="42"/>
      <c r="C49" s="161" t="s">
        <v>22</v>
      </c>
      <c r="D49" s="55">
        <f>AVERAGE(D42:G42)</f>
        <v>55.117224866872306</v>
      </c>
      <c r="E49" s="55">
        <f>STDEV(D42:G42)</f>
        <v>6.8104034341780562</v>
      </c>
      <c r="F49" s="70">
        <f>E49/(3^0.5)</f>
        <v>3.9319882560126529</v>
      </c>
      <c r="G49" s="161" t="s">
        <v>22</v>
      </c>
      <c r="H49" s="55">
        <f>AVERAGE(H42:J42)</f>
        <v>49.612116886442948</v>
      </c>
      <c r="I49" s="55">
        <f>STDEV(H42:J42)</f>
        <v>2.2876479691271792</v>
      </c>
      <c r="J49" s="70">
        <f>I49/(2^0.5)</f>
        <v>1.617611391937462</v>
      </c>
      <c r="K49" s="161" t="s">
        <v>22</v>
      </c>
      <c r="L49" s="55">
        <f>AVERAGE(K42:L42)</f>
        <v>49.669103416091772</v>
      </c>
      <c r="M49" s="55">
        <f>STDEV(K42:L42)</f>
        <v>9.6269618265282872</v>
      </c>
      <c r="N49" s="70">
        <f t="shared" ref="N49:N51" si="7">M49/(2^0.5)</f>
        <v>6.8072899897621832</v>
      </c>
      <c r="O49" s="161" t="s">
        <v>22</v>
      </c>
      <c r="P49" s="55">
        <f>AVERAGE(M42:O42)</f>
        <v>61.171698371686908</v>
      </c>
      <c r="Q49" s="55">
        <f>STDEV(M42:O42)</f>
        <v>0.78457240009986429</v>
      </c>
      <c r="R49" s="70">
        <f>Q49/(2^0.5)</f>
        <v>0.55477646444241913</v>
      </c>
      <c r="S49" s="42"/>
    </row>
    <row r="50" spans="1:29" x14ac:dyDescent="0.2">
      <c r="B50" s="42"/>
      <c r="C50" s="161" t="s">
        <v>23</v>
      </c>
      <c r="D50" s="55">
        <f>AVERAGE(D43:G43)</f>
        <v>30.548909508597102</v>
      </c>
      <c r="E50" s="55">
        <f>STDEV(D43:G43)</f>
        <v>3.8831910260998588</v>
      </c>
      <c r="F50" s="70">
        <f t="shared" ref="F50:F51" si="8">E50/(3^0.5)</f>
        <v>2.2419613842334929</v>
      </c>
      <c r="G50" s="161" t="s">
        <v>23</v>
      </c>
      <c r="H50" s="55">
        <f>AVERAGE(H43:J43)</f>
        <v>54.794738647533855</v>
      </c>
      <c r="I50" s="55">
        <f>STDEV(H43:J43)</f>
        <v>1.3499816905838358</v>
      </c>
      <c r="J50" s="70">
        <f t="shared" ref="J50" si="9">I50/(3^0.5)</f>
        <v>0.77941229245964372</v>
      </c>
      <c r="K50" s="161" t="s">
        <v>23</v>
      </c>
      <c r="L50" s="55">
        <f>AVERAGE(K43:L43)</f>
        <v>45.746980862650474</v>
      </c>
      <c r="M50" s="55">
        <f>STDEV(K43:L43)</f>
        <v>5.2479836694465032</v>
      </c>
      <c r="N50" s="70">
        <f t="shared" si="7"/>
        <v>3.7108848402218828</v>
      </c>
      <c r="O50" s="161" t="s">
        <v>23</v>
      </c>
      <c r="P50" s="55">
        <f>AVERAGE(M43:O43)</f>
        <v>51.867570140863329</v>
      </c>
      <c r="Q50" s="55">
        <f>STDEV(M43:O43)</f>
        <v>6.0718805165048604</v>
      </c>
      <c r="R50" s="70">
        <f>Q50/(3^0.5)</f>
        <v>3.5056018506913253</v>
      </c>
      <c r="S50" s="42"/>
    </row>
    <row r="51" spans="1:29" x14ac:dyDescent="0.2">
      <c r="B51" s="42"/>
      <c r="C51" s="161" t="s">
        <v>24</v>
      </c>
      <c r="D51" s="55">
        <f>AVERAGE(D44:G44)</f>
        <v>19.987690267165025</v>
      </c>
      <c r="E51" s="55">
        <f>STDEV(D44:G44)</f>
        <v>1.9036067165190251</v>
      </c>
      <c r="F51" s="70">
        <f t="shared" si="8"/>
        <v>1.0990478502134389</v>
      </c>
      <c r="G51" s="161" t="s">
        <v>24</v>
      </c>
      <c r="H51" s="55">
        <f>AVERAGE(H44:J44)</f>
        <v>24.60512640371811</v>
      </c>
      <c r="I51" s="55">
        <f>STDEV(H44:J44)</f>
        <v>3.2469954446315383</v>
      </c>
      <c r="J51" s="70">
        <f>I51/(2^0.5)</f>
        <v>2.2959724973807898</v>
      </c>
      <c r="K51" s="161" t="s">
        <v>24</v>
      </c>
      <c r="L51" s="55">
        <f>AVERAGE(K44:L44)</f>
        <v>20.622513990923668</v>
      </c>
      <c r="M51" s="55">
        <f>STDEV(K44:L44)</f>
        <v>3.8371513518451632</v>
      </c>
      <c r="N51" s="70">
        <f t="shared" si="7"/>
        <v>2.7132757413288426</v>
      </c>
      <c r="O51" s="161" t="s">
        <v>24</v>
      </c>
      <c r="P51" s="55">
        <f>AVERAGE(M44:O44)</f>
        <v>18.845573111784201</v>
      </c>
      <c r="Q51" s="55">
        <f>STDEV(M44:O44)</f>
        <v>2.6853929772383944</v>
      </c>
      <c r="R51" s="70">
        <f>Q51/(3^0.5)</f>
        <v>1.5504123582885176</v>
      </c>
      <c r="S51" s="42"/>
    </row>
    <row r="52" spans="1:29" x14ac:dyDescent="0.2">
      <c r="B52" s="42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42"/>
      <c r="Q52" s="42"/>
      <c r="R52" s="42"/>
      <c r="S52" s="42"/>
    </row>
    <row r="53" spans="1:29" x14ac:dyDescent="0.2"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</row>
    <row r="54" spans="1:29" x14ac:dyDescent="0.2"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</row>
    <row r="55" spans="1:29" x14ac:dyDescent="0.2"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</row>
    <row r="56" spans="1:29" x14ac:dyDescent="0.2">
      <c r="B56" s="42"/>
      <c r="C56" s="162"/>
      <c r="D56" s="162"/>
      <c r="E56" s="162"/>
      <c r="F56" s="162"/>
      <c r="G56" s="21"/>
      <c r="H56" s="162"/>
      <c r="I56" s="162"/>
      <c r="J56" s="162"/>
      <c r="K56" s="21"/>
      <c r="L56" s="162"/>
      <c r="M56" s="162"/>
      <c r="N56" s="162"/>
      <c r="O56" s="21"/>
      <c r="P56" s="162"/>
      <c r="Q56" s="162"/>
      <c r="R56" s="162"/>
      <c r="S56" s="42"/>
    </row>
    <row r="57" spans="1:29" x14ac:dyDescent="0.2">
      <c r="A57" s="163" t="s">
        <v>52</v>
      </c>
      <c r="B57" s="164"/>
      <c r="C57" s="164"/>
      <c r="D57" s="165"/>
      <c r="F57" s="166"/>
      <c r="G57" s="166"/>
      <c r="H57" s="166"/>
      <c r="I57" s="166"/>
      <c r="J57" s="166"/>
      <c r="K57" s="64"/>
      <c r="L57" s="106"/>
      <c r="M57" s="106"/>
      <c r="N57" s="106"/>
      <c r="O57" s="64"/>
      <c r="P57" s="106"/>
      <c r="Q57" s="106"/>
      <c r="R57" s="106"/>
      <c r="S57" s="42"/>
    </row>
    <row r="58" spans="1:29" x14ac:dyDescent="0.2">
      <c r="B58" s="166"/>
      <c r="C58" s="166"/>
      <c r="D58" s="166"/>
      <c r="E58" s="166"/>
      <c r="F58" s="166"/>
      <c r="G58" s="166"/>
      <c r="H58" s="166"/>
      <c r="I58" s="166"/>
      <c r="J58" s="166"/>
      <c r="K58" s="64"/>
      <c r="L58" s="106"/>
      <c r="M58" s="106"/>
      <c r="N58" s="106"/>
      <c r="O58" s="64"/>
      <c r="P58" s="106"/>
      <c r="Q58" s="106"/>
      <c r="R58" s="106"/>
      <c r="S58" s="42"/>
    </row>
    <row r="59" spans="1:29" x14ac:dyDescent="0.2">
      <c r="B59" s="166"/>
      <c r="C59" s="166"/>
      <c r="D59" s="166"/>
      <c r="E59" s="166"/>
      <c r="F59" s="166"/>
      <c r="G59" s="166"/>
      <c r="H59" s="166"/>
      <c r="I59" s="166"/>
      <c r="J59" s="166"/>
      <c r="K59" s="64"/>
      <c r="L59" s="106"/>
      <c r="M59" s="106"/>
      <c r="N59" s="106"/>
      <c r="O59" s="64"/>
      <c r="P59" s="106"/>
      <c r="Q59" s="106"/>
      <c r="R59" s="106"/>
      <c r="S59" s="42"/>
    </row>
    <row r="60" spans="1:29" x14ac:dyDescent="0.2">
      <c r="B60" s="166"/>
      <c r="C60" s="166"/>
      <c r="D60" s="166"/>
      <c r="E60" s="166"/>
      <c r="F60" s="166"/>
      <c r="G60" s="166"/>
      <c r="H60" s="166"/>
      <c r="I60" s="166"/>
      <c r="J60" s="166"/>
      <c r="K60" s="64"/>
      <c r="L60" s="106"/>
      <c r="M60" s="106"/>
      <c r="N60" s="106"/>
      <c r="O60" s="64"/>
      <c r="P60" s="106"/>
      <c r="Q60" s="106"/>
      <c r="R60" s="106"/>
      <c r="S60" s="42"/>
    </row>
    <row r="61" spans="1:29" x14ac:dyDescent="0.2">
      <c r="B61" s="166"/>
      <c r="C61" s="165" t="s">
        <v>574</v>
      </c>
      <c r="D61" s="165"/>
      <c r="E61" s="165"/>
      <c r="F61" s="165"/>
      <c r="G61" s="165"/>
      <c r="H61" s="165"/>
      <c r="J61" s="166"/>
      <c r="K61" s="64"/>
      <c r="L61" s="106"/>
      <c r="M61" s="106"/>
      <c r="N61" s="106"/>
      <c r="O61" s="64"/>
      <c r="P61" s="106"/>
      <c r="Q61" s="106"/>
      <c r="R61" s="106"/>
      <c r="S61" s="42"/>
      <c r="Z61" s="79"/>
      <c r="AA61" s="79"/>
      <c r="AB61" s="79"/>
      <c r="AC61" s="79"/>
    </row>
    <row r="62" spans="1:29" x14ac:dyDescent="0.2">
      <c r="B62" s="166"/>
      <c r="C62" s="166"/>
      <c r="D62" s="166"/>
      <c r="E62" s="166"/>
      <c r="F62" s="166"/>
      <c r="G62" s="166"/>
      <c r="H62" s="166"/>
      <c r="J62" s="166"/>
      <c r="K62" s="64"/>
      <c r="L62" s="106"/>
      <c r="M62" s="106"/>
      <c r="N62" s="106"/>
      <c r="O62" s="64"/>
      <c r="P62" s="106"/>
      <c r="Q62" s="106"/>
      <c r="R62" s="106"/>
      <c r="S62" s="42"/>
      <c r="Z62" s="79"/>
      <c r="AA62" s="79"/>
      <c r="AB62" s="79"/>
      <c r="AC62" s="79"/>
    </row>
    <row r="63" spans="1:29" ht="51" x14ac:dyDescent="0.2">
      <c r="B63" s="166"/>
      <c r="C63" s="167" t="s">
        <v>575</v>
      </c>
      <c r="D63" s="168" t="s">
        <v>36</v>
      </c>
      <c r="E63" s="168" t="s">
        <v>37</v>
      </c>
      <c r="F63" s="168" t="s">
        <v>576</v>
      </c>
      <c r="G63" s="168" t="s">
        <v>577</v>
      </c>
      <c r="H63" s="168" t="s">
        <v>38</v>
      </c>
      <c r="J63" s="166"/>
      <c r="K63" s="64"/>
      <c r="L63" s="106"/>
      <c r="M63" s="106"/>
      <c r="N63" s="106"/>
      <c r="O63" s="64"/>
      <c r="P63" s="106"/>
      <c r="Q63" s="106"/>
      <c r="R63" s="106"/>
      <c r="S63" s="42"/>
      <c r="Z63" s="79"/>
      <c r="AA63" s="79"/>
      <c r="AB63" s="79"/>
      <c r="AC63" s="79"/>
    </row>
    <row r="64" spans="1:29" x14ac:dyDescent="0.2">
      <c r="B64" s="166"/>
      <c r="C64" s="169" t="s">
        <v>39</v>
      </c>
      <c r="D64" s="170" t="s">
        <v>40</v>
      </c>
      <c r="E64" s="170" t="s">
        <v>10</v>
      </c>
      <c r="F64" s="170" t="s">
        <v>41</v>
      </c>
      <c r="G64" s="170" t="s">
        <v>611</v>
      </c>
      <c r="H64" s="170">
        <v>0.59889999999999999</v>
      </c>
      <c r="J64" s="166"/>
      <c r="K64" s="66"/>
      <c r="L64" s="66"/>
      <c r="M64" s="66"/>
      <c r="N64" s="66"/>
      <c r="O64" s="66"/>
      <c r="P64" s="66"/>
      <c r="Q64" s="66"/>
      <c r="R64" s="66"/>
      <c r="S64" s="66"/>
    </row>
    <row r="65" spans="2:29" x14ac:dyDescent="0.2">
      <c r="B65" s="166"/>
      <c r="C65" s="169" t="s">
        <v>42</v>
      </c>
      <c r="D65" s="170">
        <v>0.03</v>
      </c>
      <c r="E65" s="170" t="s">
        <v>12</v>
      </c>
      <c r="F65" s="170" t="s">
        <v>41</v>
      </c>
      <c r="G65" s="170" t="s">
        <v>612</v>
      </c>
      <c r="H65" s="170"/>
      <c r="J65" s="166"/>
      <c r="K65" s="66"/>
      <c r="L65" s="66"/>
      <c r="M65" s="66"/>
      <c r="N65" s="66"/>
      <c r="O65" s="66"/>
      <c r="P65" s="66"/>
      <c r="Q65" s="66"/>
      <c r="R65" s="66"/>
      <c r="S65" s="66"/>
    </row>
    <row r="66" spans="2:29" x14ac:dyDescent="0.2">
      <c r="B66" s="166"/>
      <c r="C66" s="169" t="s">
        <v>43</v>
      </c>
      <c r="D66" s="170" t="s">
        <v>40</v>
      </c>
      <c r="E66" s="170" t="s">
        <v>10</v>
      </c>
      <c r="F66" s="170" t="s">
        <v>41</v>
      </c>
      <c r="G66" s="170" t="s">
        <v>613</v>
      </c>
      <c r="H66" s="170"/>
      <c r="J66" s="166"/>
      <c r="K66" s="66"/>
      <c r="L66" s="66"/>
      <c r="M66" s="66"/>
      <c r="N66" s="66"/>
      <c r="O66" s="66"/>
      <c r="P66" s="66"/>
      <c r="Q66" s="66"/>
      <c r="R66" s="66"/>
      <c r="S66" s="66"/>
    </row>
    <row r="67" spans="2:29" x14ac:dyDescent="0.2">
      <c r="B67" s="166"/>
      <c r="C67" s="166"/>
      <c r="D67" s="166"/>
      <c r="E67" s="166"/>
      <c r="F67" s="166"/>
      <c r="G67" s="166"/>
      <c r="H67" s="166"/>
      <c r="J67" s="166"/>
      <c r="K67" s="66"/>
      <c r="L67" s="66"/>
      <c r="M67" s="66"/>
      <c r="N67" s="66"/>
      <c r="O67" s="66"/>
      <c r="P67" s="66"/>
      <c r="Q67" s="66"/>
      <c r="R67" s="66"/>
      <c r="S67" s="66"/>
    </row>
    <row r="68" spans="2:29" x14ac:dyDescent="0.2">
      <c r="B68" s="166"/>
      <c r="C68" s="166"/>
      <c r="D68" s="166"/>
      <c r="E68" s="166"/>
      <c r="F68" s="166"/>
      <c r="G68" s="166"/>
      <c r="H68" s="166"/>
      <c r="J68" s="166"/>
      <c r="K68" s="66"/>
      <c r="L68" s="66"/>
      <c r="M68" s="66"/>
      <c r="N68" s="66"/>
      <c r="O68" s="66"/>
      <c r="P68" s="66"/>
      <c r="Q68" s="66"/>
      <c r="R68" s="66"/>
      <c r="S68" s="66"/>
    </row>
    <row r="69" spans="2:29" ht="68" x14ac:dyDescent="0.2">
      <c r="B69" s="166"/>
      <c r="C69" s="167" t="s">
        <v>44</v>
      </c>
      <c r="D69" s="168" t="s">
        <v>45</v>
      </c>
      <c r="E69" s="168" t="s">
        <v>46</v>
      </c>
      <c r="F69" s="168" t="s">
        <v>47</v>
      </c>
      <c r="G69" s="168" t="s">
        <v>48</v>
      </c>
      <c r="H69" s="168" t="s">
        <v>5</v>
      </c>
      <c r="J69" s="166"/>
      <c r="K69" s="66"/>
      <c r="L69" s="66"/>
      <c r="M69" s="66"/>
      <c r="N69" s="66"/>
      <c r="O69" s="66"/>
      <c r="P69" s="66"/>
      <c r="Q69" s="66"/>
      <c r="R69" s="66"/>
      <c r="S69" s="66"/>
    </row>
    <row r="70" spans="2:29" x14ac:dyDescent="0.2">
      <c r="B70" s="166"/>
      <c r="C70" s="171"/>
      <c r="D70" s="172"/>
      <c r="E70" s="172"/>
      <c r="F70" s="172"/>
      <c r="G70" s="172"/>
      <c r="H70" s="172"/>
      <c r="J70" s="166"/>
      <c r="K70" s="66"/>
      <c r="L70" s="66"/>
      <c r="M70" s="66"/>
      <c r="N70" s="66"/>
      <c r="O70" s="66"/>
      <c r="P70" s="66"/>
      <c r="Q70" s="66"/>
      <c r="R70" s="66"/>
      <c r="S70" s="66"/>
    </row>
    <row r="71" spans="2:29" x14ac:dyDescent="0.2">
      <c r="B71" s="166"/>
      <c r="C71" s="173" t="s">
        <v>21</v>
      </c>
      <c r="D71" s="172"/>
      <c r="E71" s="172"/>
      <c r="F71" s="172"/>
      <c r="G71" s="172"/>
      <c r="H71" s="172"/>
      <c r="J71" s="166"/>
      <c r="K71" s="66"/>
      <c r="L71" s="66"/>
      <c r="M71" s="66"/>
      <c r="N71" s="66"/>
      <c r="O71" s="66"/>
      <c r="P71" s="66"/>
      <c r="Q71" s="66"/>
      <c r="R71" s="66"/>
      <c r="S71" s="66"/>
    </row>
    <row r="72" spans="2:29" x14ac:dyDescent="0.2">
      <c r="B72" s="166"/>
      <c r="C72" s="169" t="s">
        <v>6</v>
      </c>
      <c r="D72" s="170">
        <v>3.2629999999999999</v>
      </c>
      <c r="E72" s="170" t="s">
        <v>614</v>
      </c>
      <c r="F72" s="170" t="s">
        <v>49</v>
      </c>
      <c r="G72" s="170" t="s">
        <v>9</v>
      </c>
      <c r="H72" s="170">
        <v>0.85</v>
      </c>
      <c r="J72" s="166"/>
      <c r="K72" s="66"/>
      <c r="L72" s="66"/>
      <c r="M72" s="66"/>
      <c r="N72" s="66"/>
      <c r="O72" s="66"/>
      <c r="P72" s="66"/>
      <c r="Q72" s="66"/>
      <c r="R72" s="66"/>
      <c r="S72" s="66"/>
    </row>
    <row r="73" spans="2:29" x14ac:dyDescent="0.2">
      <c r="B73" s="166"/>
      <c r="C73" s="169" t="s">
        <v>7</v>
      </c>
      <c r="D73" s="170">
        <v>-0.86229999999999996</v>
      </c>
      <c r="E73" s="170" t="s">
        <v>615</v>
      </c>
      <c r="F73" s="170" t="s">
        <v>49</v>
      </c>
      <c r="G73" s="170" t="s">
        <v>9</v>
      </c>
      <c r="H73" s="170">
        <v>0.99</v>
      </c>
      <c r="J73" s="166"/>
      <c r="K73" s="66"/>
      <c r="L73" s="66"/>
      <c r="M73" s="66"/>
      <c r="N73" s="66"/>
      <c r="O73" s="66"/>
      <c r="P73" s="66"/>
      <c r="Q73" s="66"/>
      <c r="R73" s="66"/>
      <c r="S73" s="66"/>
    </row>
    <row r="74" spans="2:29" x14ac:dyDescent="0.2">
      <c r="B74" s="166"/>
      <c r="C74" s="169" t="s">
        <v>8</v>
      </c>
      <c r="D74" s="170">
        <v>2.7679999999999998</v>
      </c>
      <c r="E74" s="170" t="s">
        <v>616</v>
      </c>
      <c r="F74" s="170" t="s">
        <v>49</v>
      </c>
      <c r="G74" s="170" t="s">
        <v>9</v>
      </c>
      <c r="H74" s="170">
        <v>0.67</v>
      </c>
      <c r="J74" s="166"/>
    </row>
    <row r="75" spans="2:29" x14ac:dyDescent="0.2">
      <c r="B75" s="166"/>
      <c r="C75" s="169"/>
      <c r="D75" s="170"/>
      <c r="E75" s="170"/>
      <c r="F75" s="170"/>
      <c r="G75" s="170"/>
      <c r="H75" s="170"/>
      <c r="J75" s="166"/>
    </row>
    <row r="76" spans="2:29" x14ac:dyDescent="0.2">
      <c r="B76" s="166"/>
      <c r="C76" s="15" t="s">
        <v>22</v>
      </c>
      <c r="D76" s="170"/>
      <c r="E76" s="170"/>
      <c r="F76" s="170"/>
      <c r="G76" s="170"/>
      <c r="H76" s="170"/>
      <c r="J76" s="166"/>
    </row>
    <row r="77" spans="2:29" x14ac:dyDescent="0.2">
      <c r="B77" s="166"/>
      <c r="C77" s="169" t="s">
        <v>6</v>
      </c>
      <c r="D77" s="170">
        <v>-12.12</v>
      </c>
      <c r="E77" s="170" t="s">
        <v>617</v>
      </c>
      <c r="F77" s="170" t="s">
        <v>41</v>
      </c>
      <c r="G77" s="170" t="s">
        <v>11</v>
      </c>
      <c r="H77" s="170">
        <v>5.0000000000000001E-3</v>
      </c>
      <c r="J77" s="166"/>
    </row>
    <row r="78" spans="2:29" x14ac:dyDescent="0.2">
      <c r="B78" s="166"/>
      <c r="C78" s="169" t="s">
        <v>7</v>
      </c>
      <c r="D78" s="170">
        <v>-5.3659999999999997</v>
      </c>
      <c r="E78" s="170" t="s">
        <v>618</v>
      </c>
      <c r="F78" s="170" t="s">
        <v>49</v>
      </c>
      <c r="G78" s="170" t="s">
        <v>9</v>
      </c>
      <c r="H78" s="170">
        <v>0.55000000000000004</v>
      </c>
      <c r="J78" s="166"/>
    </row>
    <row r="79" spans="2:29" x14ac:dyDescent="0.2">
      <c r="B79" s="166"/>
      <c r="C79" s="169" t="s">
        <v>8</v>
      </c>
      <c r="D79" s="170">
        <v>3.161</v>
      </c>
      <c r="E79" s="170" t="s">
        <v>619</v>
      </c>
      <c r="F79" s="170" t="s">
        <v>49</v>
      </c>
      <c r="G79" s="170" t="s">
        <v>9</v>
      </c>
      <c r="H79" s="170">
        <v>0.15</v>
      </c>
      <c r="J79" s="166"/>
    </row>
    <row r="80" spans="2:29" x14ac:dyDescent="0.2">
      <c r="B80" s="166"/>
      <c r="C80" s="169"/>
      <c r="D80" s="170"/>
      <c r="E80" s="170"/>
      <c r="F80" s="170"/>
      <c r="G80" s="170"/>
      <c r="H80" s="170"/>
      <c r="J80" s="166"/>
      <c r="Z80" s="79"/>
      <c r="AA80" s="79"/>
      <c r="AB80" s="79"/>
      <c r="AC80" s="79"/>
    </row>
    <row r="81" spans="2:29" x14ac:dyDescent="0.2">
      <c r="B81" s="166"/>
      <c r="C81" s="15" t="s">
        <v>23</v>
      </c>
      <c r="D81" s="170"/>
      <c r="E81" s="170"/>
      <c r="F81" s="170"/>
      <c r="G81" s="170"/>
      <c r="H81" s="170"/>
      <c r="J81" s="166"/>
      <c r="Z81" s="79"/>
      <c r="AA81" s="79"/>
      <c r="AB81" s="79"/>
      <c r="AC81" s="79"/>
    </row>
    <row r="82" spans="2:29" x14ac:dyDescent="0.2">
      <c r="B82" s="166"/>
      <c r="C82" s="169" t="s">
        <v>6</v>
      </c>
      <c r="D82" s="170">
        <v>36.57</v>
      </c>
      <c r="E82" s="170" t="s">
        <v>620</v>
      </c>
      <c r="F82" s="170" t="s">
        <v>41</v>
      </c>
      <c r="G82" s="170" t="s">
        <v>11</v>
      </c>
      <c r="H82" s="170">
        <v>3.0000000000000001E-3</v>
      </c>
      <c r="J82" s="166"/>
      <c r="Z82" s="79"/>
      <c r="AA82" s="79"/>
      <c r="AB82" s="79"/>
      <c r="AC82" s="79"/>
    </row>
    <row r="83" spans="2:29" x14ac:dyDescent="0.2">
      <c r="B83" s="166"/>
      <c r="C83" s="169" t="s">
        <v>7</v>
      </c>
      <c r="D83" s="170">
        <v>27.66</v>
      </c>
      <c r="E83" s="170" t="s">
        <v>621</v>
      </c>
      <c r="F83" s="170" t="s">
        <v>41</v>
      </c>
      <c r="G83" s="170" t="s">
        <v>12</v>
      </c>
      <c r="H83" s="170">
        <v>0.02</v>
      </c>
      <c r="J83" s="166"/>
      <c r="Z83" s="79"/>
      <c r="AA83" s="79"/>
      <c r="AB83" s="79"/>
      <c r="AC83" s="79"/>
    </row>
    <row r="84" spans="2:29" x14ac:dyDescent="0.2">
      <c r="B84" s="166"/>
      <c r="C84" s="169" t="s">
        <v>8</v>
      </c>
      <c r="D84" s="170">
        <v>27.74</v>
      </c>
      <c r="E84" s="170" t="s">
        <v>622</v>
      </c>
      <c r="F84" s="170" t="s">
        <v>41</v>
      </c>
      <c r="G84" s="170" t="s">
        <v>11</v>
      </c>
      <c r="H84" s="170">
        <v>7.0000000000000001E-3</v>
      </c>
      <c r="J84" s="166"/>
      <c r="Z84" s="79"/>
      <c r="AA84" s="79"/>
      <c r="AB84" s="79"/>
      <c r="AC84" s="79"/>
    </row>
    <row r="85" spans="2:29" x14ac:dyDescent="0.2">
      <c r="B85" s="166"/>
      <c r="C85" s="169"/>
      <c r="D85" s="170"/>
      <c r="E85" s="170"/>
      <c r="F85" s="170"/>
      <c r="G85" s="170"/>
      <c r="H85" s="170"/>
      <c r="J85" s="166"/>
      <c r="Z85" s="79"/>
      <c r="AA85" s="79"/>
      <c r="AB85" s="79"/>
      <c r="AC85" s="79"/>
    </row>
    <row r="86" spans="2:29" x14ac:dyDescent="0.2">
      <c r="B86" s="166"/>
      <c r="C86" s="15" t="s">
        <v>24</v>
      </c>
      <c r="D86" s="170"/>
      <c r="E86" s="170"/>
      <c r="F86" s="170"/>
      <c r="G86" s="170"/>
      <c r="H86" s="170"/>
      <c r="J86" s="166"/>
      <c r="T86" s="9"/>
      <c r="U86" s="9"/>
      <c r="V86" s="9"/>
    </row>
    <row r="87" spans="2:29" x14ac:dyDescent="0.2">
      <c r="B87" s="166"/>
      <c r="C87" s="169" t="s">
        <v>6</v>
      </c>
      <c r="D87" s="170">
        <v>6.7919999999999998</v>
      </c>
      <c r="E87" s="170" t="s">
        <v>623</v>
      </c>
      <c r="F87" s="170" t="s">
        <v>49</v>
      </c>
      <c r="G87" s="170" t="s">
        <v>9</v>
      </c>
      <c r="H87" s="170">
        <v>0.4</v>
      </c>
      <c r="J87" s="166"/>
    </row>
    <row r="88" spans="2:29" x14ac:dyDescent="0.2">
      <c r="B88" s="166"/>
      <c r="C88" s="169" t="s">
        <v>7</v>
      </c>
      <c r="D88" s="170">
        <v>-1.0409999999999999</v>
      </c>
      <c r="E88" s="170" t="s">
        <v>624</v>
      </c>
      <c r="F88" s="170" t="s">
        <v>49</v>
      </c>
      <c r="G88" s="170" t="s">
        <v>9</v>
      </c>
      <c r="H88" s="174" t="s">
        <v>50</v>
      </c>
      <c r="J88" s="166"/>
    </row>
    <row r="89" spans="2:29" x14ac:dyDescent="0.2">
      <c r="B89" s="166"/>
      <c r="C89" s="169" t="s">
        <v>8</v>
      </c>
      <c r="D89" s="170">
        <v>-4.6840000000000002</v>
      </c>
      <c r="E89" s="170" t="s">
        <v>625</v>
      </c>
      <c r="F89" s="170" t="s">
        <v>49</v>
      </c>
      <c r="G89" s="170" t="s">
        <v>9</v>
      </c>
      <c r="H89" s="170">
        <v>0.49</v>
      </c>
      <c r="J89" s="166"/>
    </row>
    <row r="90" spans="2:29" x14ac:dyDescent="0.2">
      <c r="B90" s="166"/>
      <c r="C90" s="166"/>
      <c r="D90" s="166"/>
      <c r="E90" s="166"/>
      <c r="F90" s="166"/>
      <c r="G90" s="166"/>
      <c r="H90" s="166"/>
      <c r="J90" s="166"/>
    </row>
    <row r="91" spans="2:29" x14ac:dyDescent="0.2">
      <c r="B91" s="166"/>
      <c r="C91" s="166"/>
      <c r="D91" s="166"/>
      <c r="E91" s="166"/>
      <c r="F91" s="166"/>
      <c r="G91" s="166"/>
      <c r="H91" s="166"/>
      <c r="J91" s="166"/>
    </row>
    <row r="92" spans="2:29" x14ac:dyDescent="0.2">
      <c r="B92" s="166"/>
      <c r="C92" s="166"/>
      <c r="D92" s="166"/>
      <c r="E92" s="166"/>
      <c r="F92" s="166"/>
      <c r="G92" s="166"/>
      <c r="H92" s="166"/>
      <c r="J92" s="166"/>
    </row>
    <row r="93" spans="2:29" x14ac:dyDescent="0.2">
      <c r="B93" s="166"/>
      <c r="C93" s="165" t="s">
        <v>578</v>
      </c>
      <c r="D93" s="165"/>
      <c r="E93" s="165"/>
      <c r="F93" s="165"/>
      <c r="G93" s="165"/>
      <c r="H93" s="165"/>
      <c r="J93" s="166"/>
    </row>
    <row r="94" spans="2:29" x14ac:dyDescent="0.2">
      <c r="B94" s="166"/>
      <c r="C94" s="166"/>
      <c r="D94" s="166"/>
      <c r="E94" s="166"/>
      <c r="F94" s="166"/>
      <c r="G94" s="166"/>
      <c r="H94" s="166"/>
      <c r="J94" s="166"/>
    </row>
    <row r="95" spans="2:29" ht="51" x14ac:dyDescent="0.2">
      <c r="B95" s="166"/>
      <c r="C95" s="167" t="s">
        <v>575</v>
      </c>
      <c r="D95" s="168" t="s">
        <v>36</v>
      </c>
      <c r="E95" s="168" t="s">
        <v>37</v>
      </c>
      <c r="F95" s="168" t="s">
        <v>576</v>
      </c>
      <c r="G95" s="168" t="s">
        <v>577</v>
      </c>
      <c r="H95" s="168" t="s">
        <v>38</v>
      </c>
      <c r="J95" s="166"/>
    </row>
    <row r="96" spans="2:29" x14ac:dyDescent="0.2">
      <c r="B96" s="166"/>
      <c r="C96" s="169" t="s">
        <v>39</v>
      </c>
      <c r="D96" s="174" t="s">
        <v>40</v>
      </c>
      <c r="E96" s="170" t="s">
        <v>10</v>
      </c>
      <c r="F96" s="170" t="s">
        <v>41</v>
      </c>
      <c r="G96" s="170" t="s">
        <v>626</v>
      </c>
      <c r="H96" s="170">
        <v>0.69410000000000005</v>
      </c>
      <c r="J96" s="166"/>
    </row>
    <row r="97" spans="2:10" x14ac:dyDescent="0.2">
      <c r="B97" s="166"/>
      <c r="C97" s="169" t="s">
        <v>42</v>
      </c>
      <c r="D97" s="170">
        <v>0.56999999999999995</v>
      </c>
      <c r="E97" s="170" t="s">
        <v>9</v>
      </c>
      <c r="F97" s="170" t="s">
        <v>49</v>
      </c>
      <c r="G97" s="170" t="s">
        <v>627</v>
      </c>
      <c r="H97" s="170"/>
      <c r="J97" s="166"/>
    </row>
    <row r="98" spans="2:10" x14ac:dyDescent="0.2">
      <c r="B98" s="166"/>
      <c r="C98" s="169" t="s">
        <v>43</v>
      </c>
      <c r="D98" s="170">
        <v>0.08</v>
      </c>
      <c r="E98" s="170" t="s">
        <v>9</v>
      </c>
      <c r="F98" s="170" t="s">
        <v>49</v>
      </c>
      <c r="G98" s="170" t="s">
        <v>628</v>
      </c>
      <c r="H98" s="170"/>
      <c r="J98" s="166"/>
    </row>
    <row r="99" spans="2:10" x14ac:dyDescent="0.2">
      <c r="B99" s="166"/>
      <c r="C99" s="166"/>
      <c r="D99" s="166"/>
      <c r="E99" s="166"/>
      <c r="F99" s="166"/>
      <c r="G99" s="166"/>
      <c r="H99" s="166"/>
      <c r="J99" s="166"/>
    </row>
    <row r="100" spans="2:10" x14ac:dyDescent="0.2">
      <c r="B100" s="166"/>
      <c r="C100" s="166"/>
      <c r="D100" s="166"/>
      <c r="E100" s="166"/>
      <c r="F100" s="166"/>
      <c r="G100" s="166"/>
      <c r="H100" s="166"/>
      <c r="J100" s="166"/>
    </row>
    <row r="101" spans="2:10" ht="68" x14ac:dyDescent="0.2">
      <c r="B101" s="166"/>
      <c r="C101" s="167" t="s">
        <v>44</v>
      </c>
      <c r="D101" s="168" t="s">
        <v>45</v>
      </c>
      <c r="E101" s="168" t="s">
        <v>46</v>
      </c>
      <c r="F101" s="168" t="s">
        <v>47</v>
      </c>
      <c r="G101" s="168" t="s">
        <v>48</v>
      </c>
      <c r="H101" s="168" t="s">
        <v>5</v>
      </c>
      <c r="J101" s="166"/>
    </row>
    <row r="102" spans="2:10" x14ac:dyDescent="0.2">
      <c r="B102" s="166"/>
      <c r="C102" s="166"/>
      <c r="D102" s="166"/>
      <c r="E102" s="166"/>
      <c r="F102" s="166"/>
      <c r="G102" s="166"/>
      <c r="H102" s="166"/>
      <c r="J102" s="166"/>
    </row>
    <row r="103" spans="2:10" x14ac:dyDescent="0.2">
      <c r="B103" s="166"/>
      <c r="C103" s="173" t="s">
        <v>21</v>
      </c>
      <c r="D103" s="172"/>
      <c r="E103" s="172"/>
      <c r="F103" s="172"/>
      <c r="G103" s="172"/>
      <c r="H103" s="172"/>
      <c r="J103" s="166"/>
    </row>
    <row r="104" spans="2:10" x14ac:dyDescent="0.2">
      <c r="B104" s="166"/>
      <c r="C104" s="169" t="s">
        <v>6</v>
      </c>
      <c r="D104" s="170">
        <v>1.4470000000000001</v>
      </c>
      <c r="E104" s="170" t="s">
        <v>629</v>
      </c>
      <c r="F104" s="170" t="s">
        <v>49</v>
      </c>
      <c r="G104" s="170" t="s">
        <v>9</v>
      </c>
      <c r="H104" s="170">
        <v>0.94</v>
      </c>
      <c r="J104" s="166"/>
    </row>
    <row r="105" spans="2:10" x14ac:dyDescent="0.2">
      <c r="B105" s="166"/>
      <c r="C105" s="169" t="s">
        <v>7</v>
      </c>
      <c r="D105" s="170">
        <v>9.3390000000000001E-2</v>
      </c>
      <c r="E105" s="170" t="s">
        <v>630</v>
      </c>
      <c r="F105" s="170" t="s">
        <v>49</v>
      </c>
      <c r="G105" s="170" t="s">
        <v>9</v>
      </c>
      <c r="H105" s="174" t="s">
        <v>50</v>
      </c>
      <c r="J105" s="166"/>
    </row>
    <row r="106" spans="2:10" x14ac:dyDescent="0.2">
      <c r="B106" s="166"/>
      <c r="C106" s="169" t="s">
        <v>8</v>
      </c>
      <c r="D106" s="170">
        <v>2.3450000000000002</v>
      </c>
      <c r="E106" s="170" t="s">
        <v>631</v>
      </c>
      <c r="F106" s="170" t="s">
        <v>49</v>
      </c>
      <c r="G106" s="170" t="s">
        <v>9</v>
      </c>
      <c r="H106" s="174">
        <v>0.87</v>
      </c>
      <c r="J106" s="166"/>
    </row>
    <row r="107" spans="2:10" x14ac:dyDescent="0.2">
      <c r="B107" s="166"/>
      <c r="C107" s="169"/>
      <c r="D107" s="170"/>
      <c r="E107" s="170"/>
      <c r="F107" s="170"/>
      <c r="G107" s="170"/>
      <c r="H107" s="174"/>
      <c r="J107" s="166"/>
    </row>
    <row r="108" spans="2:10" x14ac:dyDescent="0.2">
      <c r="B108" s="166"/>
      <c r="C108" s="15" t="s">
        <v>22</v>
      </c>
      <c r="D108" s="170"/>
      <c r="E108" s="170"/>
      <c r="F108" s="170"/>
      <c r="G108" s="170"/>
      <c r="H108" s="174"/>
      <c r="J108" s="166"/>
    </row>
    <row r="109" spans="2:10" x14ac:dyDescent="0.2">
      <c r="B109" s="166"/>
      <c r="C109" s="169" t="s">
        <v>6</v>
      </c>
      <c r="D109" s="170">
        <v>6.6109999999999998</v>
      </c>
      <c r="E109" s="170" t="s">
        <v>632</v>
      </c>
      <c r="F109" s="170" t="s">
        <v>49</v>
      </c>
      <c r="G109" s="170" t="s">
        <v>9</v>
      </c>
      <c r="H109" s="174">
        <v>0.56000000000000005</v>
      </c>
      <c r="J109" s="166"/>
    </row>
    <row r="110" spans="2:10" x14ac:dyDescent="0.2">
      <c r="B110" s="166"/>
      <c r="C110" s="169" t="s">
        <v>7</v>
      </c>
      <c r="D110" s="170">
        <v>-8.2379999999999995E-2</v>
      </c>
      <c r="E110" s="170" t="s">
        <v>633</v>
      </c>
      <c r="F110" s="170" t="s">
        <v>49</v>
      </c>
      <c r="G110" s="170" t="s">
        <v>9</v>
      </c>
      <c r="H110" s="174" t="s">
        <v>50</v>
      </c>
      <c r="J110" s="166"/>
    </row>
    <row r="111" spans="2:10" x14ac:dyDescent="0.2">
      <c r="B111" s="166"/>
      <c r="C111" s="169" t="s">
        <v>8</v>
      </c>
      <c r="D111" s="170">
        <v>2.8940000000000001</v>
      </c>
      <c r="E111" s="170" t="s">
        <v>634</v>
      </c>
      <c r="F111" s="170" t="s">
        <v>49</v>
      </c>
      <c r="G111" s="170" t="s">
        <v>9</v>
      </c>
      <c r="H111" s="170">
        <v>0.89</v>
      </c>
      <c r="J111" s="166"/>
    </row>
    <row r="112" spans="2:10" x14ac:dyDescent="0.2">
      <c r="B112" s="166"/>
      <c r="C112" s="169"/>
      <c r="D112" s="170"/>
      <c r="E112" s="170"/>
      <c r="F112" s="170"/>
      <c r="G112" s="170"/>
      <c r="H112" s="170"/>
      <c r="J112" s="166"/>
    </row>
    <row r="113" spans="2:10" x14ac:dyDescent="0.2">
      <c r="B113" s="166"/>
      <c r="C113" s="15" t="s">
        <v>23</v>
      </c>
      <c r="D113" s="170"/>
      <c r="E113" s="170"/>
      <c r="F113" s="170"/>
      <c r="G113" s="170"/>
      <c r="H113" s="170"/>
      <c r="J113" s="166"/>
    </row>
    <row r="114" spans="2:10" x14ac:dyDescent="0.2">
      <c r="B114" s="166"/>
      <c r="C114" s="169" t="s">
        <v>6</v>
      </c>
      <c r="D114" s="170">
        <v>-12.33</v>
      </c>
      <c r="E114" s="170" t="s">
        <v>635</v>
      </c>
      <c r="F114" s="170" t="s">
        <v>49</v>
      </c>
      <c r="G114" s="170" t="s">
        <v>9</v>
      </c>
      <c r="H114" s="170">
        <v>0.08</v>
      </c>
      <c r="J114" s="166"/>
    </row>
    <row r="115" spans="2:10" x14ac:dyDescent="0.2">
      <c r="B115" s="166"/>
      <c r="C115" s="169" t="s">
        <v>7</v>
      </c>
      <c r="D115" s="170">
        <v>-12.47</v>
      </c>
      <c r="E115" s="170" t="s">
        <v>636</v>
      </c>
      <c r="F115" s="170" t="s">
        <v>49</v>
      </c>
      <c r="G115" s="170" t="s">
        <v>9</v>
      </c>
      <c r="H115" s="170">
        <v>0.28000000000000003</v>
      </c>
      <c r="J115" s="166"/>
    </row>
    <row r="116" spans="2:10" x14ac:dyDescent="0.2">
      <c r="B116" s="166"/>
      <c r="C116" s="169" t="s">
        <v>582</v>
      </c>
      <c r="D116" s="170">
        <v>-6.4180000000000001</v>
      </c>
      <c r="E116" s="170" t="s">
        <v>637</v>
      </c>
      <c r="F116" s="170" t="s">
        <v>49</v>
      </c>
      <c r="G116" s="170" t="s">
        <v>9</v>
      </c>
      <c r="H116" s="170">
        <v>0.44</v>
      </c>
      <c r="J116" s="166"/>
    </row>
    <row r="117" spans="2:10" x14ac:dyDescent="0.2">
      <c r="B117" s="166"/>
      <c r="C117" s="169"/>
      <c r="D117" s="170"/>
      <c r="E117" s="170"/>
      <c r="F117" s="170"/>
      <c r="G117" s="170"/>
      <c r="H117" s="170"/>
      <c r="J117" s="166"/>
    </row>
    <row r="118" spans="2:10" x14ac:dyDescent="0.2">
      <c r="B118" s="166"/>
      <c r="C118" s="15" t="s">
        <v>24</v>
      </c>
      <c r="D118" s="170"/>
      <c r="E118" s="170"/>
      <c r="F118" s="170"/>
      <c r="G118" s="170"/>
      <c r="H118" s="170"/>
      <c r="J118" s="166"/>
    </row>
    <row r="119" spans="2:10" x14ac:dyDescent="0.2">
      <c r="B119" s="166"/>
      <c r="C119" s="169" t="s">
        <v>6</v>
      </c>
      <c r="D119" s="170">
        <v>-2.1749999999999998</v>
      </c>
      <c r="E119" s="170" t="s">
        <v>638</v>
      </c>
      <c r="F119" s="170" t="s">
        <v>49</v>
      </c>
      <c r="G119" s="170" t="s">
        <v>9</v>
      </c>
      <c r="H119" s="170">
        <v>0.69</v>
      </c>
      <c r="J119" s="166"/>
    </row>
    <row r="120" spans="2:10" x14ac:dyDescent="0.2">
      <c r="B120" s="166"/>
      <c r="C120" s="169" t="s">
        <v>7</v>
      </c>
      <c r="D120" s="170">
        <v>1.6759999999999999</v>
      </c>
      <c r="E120" s="170" t="s">
        <v>639</v>
      </c>
      <c r="F120" s="170" t="s">
        <v>49</v>
      </c>
      <c r="G120" s="170" t="s">
        <v>9</v>
      </c>
      <c r="H120" s="170">
        <v>0.89</v>
      </c>
      <c r="J120" s="166"/>
    </row>
    <row r="121" spans="2:10" x14ac:dyDescent="0.2">
      <c r="B121" s="166"/>
      <c r="C121" s="169" t="s">
        <v>8</v>
      </c>
      <c r="D121" s="170">
        <v>3.5419999999999998</v>
      </c>
      <c r="E121" s="170" t="s">
        <v>640</v>
      </c>
      <c r="F121" s="170" t="s">
        <v>49</v>
      </c>
      <c r="G121" s="170" t="s">
        <v>9</v>
      </c>
      <c r="H121" s="170">
        <v>0.46</v>
      </c>
      <c r="J121" s="166"/>
    </row>
    <row r="122" spans="2:10" x14ac:dyDescent="0.2">
      <c r="B122" s="166"/>
      <c r="C122" s="166"/>
      <c r="D122" s="166"/>
      <c r="E122" s="166"/>
      <c r="F122" s="166"/>
      <c r="G122" s="166"/>
      <c r="H122" s="166"/>
      <c r="J122" s="166"/>
    </row>
    <row r="123" spans="2:10" x14ac:dyDescent="0.2">
      <c r="B123" s="166"/>
      <c r="C123" s="166"/>
      <c r="D123" s="166"/>
      <c r="E123" s="166"/>
      <c r="F123" s="166"/>
      <c r="G123" s="166"/>
      <c r="H123" s="166"/>
      <c r="J123" s="166"/>
    </row>
    <row r="124" spans="2:10" x14ac:dyDescent="0.2">
      <c r="B124" s="166"/>
      <c r="C124" s="166"/>
      <c r="D124" s="166"/>
      <c r="E124" s="166"/>
      <c r="F124" s="166"/>
      <c r="G124" s="166"/>
      <c r="H124" s="166"/>
      <c r="J124" s="166"/>
    </row>
    <row r="125" spans="2:10" x14ac:dyDescent="0.2">
      <c r="B125" s="166"/>
      <c r="C125" s="165" t="s">
        <v>579</v>
      </c>
      <c r="D125" s="165"/>
      <c r="E125" s="165"/>
      <c r="F125" s="165"/>
      <c r="G125" s="165"/>
      <c r="H125" s="165"/>
      <c r="J125" s="166"/>
    </row>
    <row r="126" spans="2:10" x14ac:dyDescent="0.2">
      <c r="B126" s="166"/>
      <c r="C126" s="166"/>
      <c r="D126" s="166"/>
      <c r="E126" s="166"/>
      <c r="F126" s="166"/>
      <c r="G126" s="166"/>
      <c r="H126" s="166"/>
      <c r="J126" s="166"/>
    </row>
    <row r="127" spans="2:10" ht="51" x14ac:dyDescent="0.2">
      <c r="B127" s="166"/>
      <c r="C127" s="167" t="s">
        <v>575</v>
      </c>
      <c r="D127" s="168" t="s">
        <v>36</v>
      </c>
      <c r="E127" s="168" t="s">
        <v>37</v>
      </c>
      <c r="F127" s="168" t="s">
        <v>576</v>
      </c>
      <c r="G127" s="168" t="s">
        <v>577</v>
      </c>
      <c r="H127" s="168" t="s">
        <v>38</v>
      </c>
      <c r="J127" s="166"/>
    </row>
    <row r="128" spans="2:10" x14ac:dyDescent="0.2">
      <c r="B128" s="166"/>
      <c r="C128" s="169" t="s">
        <v>39</v>
      </c>
      <c r="D128" s="174" t="s">
        <v>40</v>
      </c>
      <c r="E128" s="170" t="s">
        <v>10</v>
      </c>
      <c r="F128" s="170" t="s">
        <v>41</v>
      </c>
      <c r="G128" s="170" t="s">
        <v>641</v>
      </c>
      <c r="H128" s="170">
        <v>0.69469999999999998</v>
      </c>
      <c r="J128" s="166"/>
    </row>
    <row r="129" spans="2:10" x14ac:dyDescent="0.2">
      <c r="B129" s="166"/>
      <c r="C129" s="169" t="s">
        <v>42</v>
      </c>
      <c r="D129" s="170">
        <v>4.0000000000000001E-3</v>
      </c>
      <c r="E129" s="170" t="s">
        <v>11</v>
      </c>
      <c r="F129" s="170" t="s">
        <v>41</v>
      </c>
      <c r="G129" s="170" t="s">
        <v>642</v>
      </c>
      <c r="H129" s="170"/>
      <c r="J129" s="166"/>
    </row>
    <row r="130" spans="2:10" x14ac:dyDescent="0.2">
      <c r="B130" s="166"/>
      <c r="C130" s="169" t="s">
        <v>43</v>
      </c>
      <c r="D130" s="170">
        <v>4.0000000000000001E-3</v>
      </c>
      <c r="E130" s="170" t="s">
        <v>11</v>
      </c>
      <c r="F130" s="170" t="s">
        <v>41</v>
      </c>
      <c r="G130" s="170" t="s">
        <v>643</v>
      </c>
      <c r="H130" s="170"/>
      <c r="J130" s="166"/>
    </row>
    <row r="131" spans="2:10" x14ac:dyDescent="0.2">
      <c r="B131" s="166"/>
      <c r="C131" s="166"/>
      <c r="D131" s="166"/>
      <c r="E131" s="166"/>
      <c r="F131" s="166"/>
      <c r="G131" s="166"/>
      <c r="H131" s="166"/>
      <c r="J131" s="166"/>
    </row>
    <row r="132" spans="2:10" x14ac:dyDescent="0.2">
      <c r="B132" s="166"/>
      <c r="C132" s="166"/>
      <c r="D132" s="166"/>
      <c r="E132" s="166"/>
      <c r="F132" s="166"/>
      <c r="G132" s="166"/>
      <c r="H132" s="166"/>
      <c r="J132" s="166"/>
    </row>
    <row r="133" spans="2:10" ht="68" x14ac:dyDescent="0.2">
      <c r="B133" s="166"/>
      <c r="C133" s="167" t="s">
        <v>44</v>
      </c>
      <c r="D133" s="168" t="s">
        <v>45</v>
      </c>
      <c r="E133" s="168" t="s">
        <v>46</v>
      </c>
      <c r="F133" s="168" t="s">
        <v>47</v>
      </c>
      <c r="G133" s="168" t="s">
        <v>48</v>
      </c>
      <c r="H133" s="168" t="s">
        <v>5</v>
      </c>
      <c r="J133" s="166"/>
    </row>
    <row r="134" spans="2:10" x14ac:dyDescent="0.2">
      <c r="B134" s="166"/>
      <c r="C134" s="166"/>
      <c r="D134" s="166"/>
      <c r="E134" s="166"/>
      <c r="F134" s="166"/>
      <c r="G134" s="166"/>
      <c r="H134" s="166"/>
      <c r="J134" s="166"/>
    </row>
    <row r="135" spans="2:10" x14ac:dyDescent="0.2">
      <c r="B135" s="166"/>
      <c r="C135" s="173" t="s">
        <v>21</v>
      </c>
      <c r="D135" s="172"/>
      <c r="E135" s="172"/>
      <c r="F135" s="172"/>
      <c r="G135" s="172"/>
      <c r="H135" s="172"/>
      <c r="J135" s="166"/>
    </row>
    <row r="136" spans="2:10" x14ac:dyDescent="0.2">
      <c r="B136" s="166"/>
      <c r="C136" s="169" t="s">
        <v>6</v>
      </c>
      <c r="D136" s="170">
        <v>-4.71</v>
      </c>
      <c r="E136" s="170" t="s">
        <v>644</v>
      </c>
      <c r="F136" s="170" t="s">
        <v>49</v>
      </c>
      <c r="G136" s="170" t="s">
        <v>9</v>
      </c>
      <c r="H136" s="170">
        <v>0.69</v>
      </c>
      <c r="J136" s="166"/>
    </row>
    <row r="137" spans="2:10" x14ac:dyDescent="0.2">
      <c r="B137" s="166"/>
      <c r="C137" s="169" t="s">
        <v>7</v>
      </c>
      <c r="D137" s="170">
        <v>0.76900000000000002</v>
      </c>
      <c r="E137" s="170" t="s">
        <v>645</v>
      </c>
      <c r="F137" s="170" t="s">
        <v>49</v>
      </c>
      <c r="G137" s="170" t="s">
        <v>9</v>
      </c>
      <c r="H137" s="174" t="s">
        <v>50</v>
      </c>
      <c r="J137" s="166"/>
    </row>
    <row r="138" spans="2:10" x14ac:dyDescent="0.2">
      <c r="B138" s="166"/>
      <c r="C138" s="169" t="s">
        <v>8</v>
      </c>
      <c r="D138" s="170">
        <v>-5.1130000000000004</v>
      </c>
      <c r="E138" s="170" t="s">
        <v>646</v>
      </c>
      <c r="F138" s="170" t="s">
        <v>49</v>
      </c>
      <c r="G138" s="170" t="s">
        <v>9</v>
      </c>
      <c r="H138" s="170">
        <v>0.54</v>
      </c>
      <c r="J138" s="166"/>
    </row>
    <row r="139" spans="2:10" x14ac:dyDescent="0.2">
      <c r="B139" s="166"/>
      <c r="C139" s="169"/>
      <c r="D139" s="170"/>
      <c r="E139" s="170"/>
      <c r="F139" s="170"/>
      <c r="G139" s="170"/>
      <c r="H139" s="170"/>
      <c r="J139" s="166"/>
    </row>
    <row r="140" spans="2:10" x14ac:dyDescent="0.2">
      <c r="B140" s="166"/>
      <c r="C140" s="15" t="s">
        <v>22</v>
      </c>
      <c r="D140" s="170"/>
      <c r="E140" s="170"/>
      <c r="F140" s="170"/>
      <c r="G140" s="170"/>
      <c r="H140" s="170"/>
      <c r="J140" s="166"/>
    </row>
    <row r="141" spans="2:10" x14ac:dyDescent="0.2">
      <c r="B141" s="166"/>
      <c r="C141" s="169" t="s">
        <v>6</v>
      </c>
      <c r="D141" s="170">
        <v>5.5049999999999999</v>
      </c>
      <c r="E141" s="170" t="s">
        <v>647</v>
      </c>
      <c r="F141" s="170" t="s">
        <v>49</v>
      </c>
      <c r="G141" s="170" t="s">
        <v>9</v>
      </c>
      <c r="H141" s="170">
        <v>0.55000000000000004</v>
      </c>
      <c r="J141" s="166"/>
    </row>
    <row r="142" spans="2:10" x14ac:dyDescent="0.2">
      <c r="B142" s="166"/>
      <c r="C142" s="169" t="s">
        <v>7</v>
      </c>
      <c r="D142" s="170">
        <v>5.4480000000000004</v>
      </c>
      <c r="E142" s="170" t="s">
        <v>648</v>
      </c>
      <c r="F142" s="170" t="s">
        <v>49</v>
      </c>
      <c r="G142" s="170" t="s">
        <v>9</v>
      </c>
      <c r="H142" s="170">
        <v>0.85</v>
      </c>
      <c r="J142" s="166"/>
    </row>
    <row r="143" spans="2:10" x14ac:dyDescent="0.2">
      <c r="B143" s="166"/>
      <c r="C143" s="169" t="s">
        <v>8</v>
      </c>
      <c r="D143" s="170">
        <v>-6.0540000000000003</v>
      </c>
      <c r="E143" s="170" t="s">
        <v>649</v>
      </c>
      <c r="F143" s="170" t="s">
        <v>49</v>
      </c>
      <c r="G143" s="170" t="s">
        <v>9</v>
      </c>
      <c r="H143" s="170">
        <v>0.47</v>
      </c>
      <c r="J143" s="166"/>
    </row>
    <row r="144" spans="2:10" x14ac:dyDescent="0.2">
      <c r="B144" s="166"/>
      <c r="C144" s="169"/>
      <c r="D144" s="170"/>
      <c r="E144" s="170"/>
      <c r="F144" s="170"/>
      <c r="G144" s="170"/>
      <c r="H144" s="170"/>
      <c r="J144" s="166"/>
    </row>
    <row r="145" spans="2:10" x14ac:dyDescent="0.2">
      <c r="B145" s="166"/>
      <c r="C145" s="15" t="s">
        <v>23</v>
      </c>
      <c r="D145" s="170"/>
      <c r="E145" s="170"/>
      <c r="F145" s="170"/>
      <c r="G145" s="170"/>
      <c r="H145" s="170"/>
      <c r="J145" s="166"/>
    </row>
    <row r="146" spans="2:10" x14ac:dyDescent="0.2">
      <c r="B146" s="166"/>
      <c r="C146" s="169" t="s">
        <v>6</v>
      </c>
      <c r="D146" s="170">
        <v>-24.25</v>
      </c>
      <c r="E146" s="170" t="s">
        <v>650</v>
      </c>
      <c r="F146" s="170" t="s">
        <v>41</v>
      </c>
      <c r="G146" s="170" t="s">
        <v>11</v>
      </c>
      <c r="H146" s="170">
        <v>8.9999999999999993E-3</v>
      </c>
      <c r="J146" s="166"/>
    </row>
    <row r="147" spans="2:10" x14ac:dyDescent="0.2">
      <c r="B147" s="166"/>
      <c r="C147" s="169" t="s">
        <v>7</v>
      </c>
      <c r="D147" s="170">
        <v>-15.2</v>
      </c>
      <c r="E147" s="170" t="s">
        <v>651</v>
      </c>
      <c r="F147" s="170" t="s">
        <v>49</v>
      </c>
      <c r="G147" s="170" t="s">
        <v>9</v>
      </c>
      <c r="H147" s="170">
        <v>0.16</v>
      </c>
      <c r="J147" s="166"/>
    </row>
    <row r="148" spans="2:10" x14ac:dyDescent="0.2">
      <c r="B148" s="166"/>
      <c r="C148" s="169" t="s">
        <v>8</v>
      </c>
      <c r="D148" s="170">
        <v>-21.32</v>
      </c>
      <c r="E148" s="170" t="s">
        <v>652</v>
      </c>
      <c r="F148" s="170" t="s">
        <v>41</v>
      </c>
      <c r="G148" s="170" t="s">
        <v>12</v>
      </c>
      <c r="H148" s="170">
        <v>0.02</v>
      </c>
      <c r="J148" s="166"/>
    </row>
    <row r="149" spans="2:10" x14ac:dyDescent="0.2">
      <c r="B149" s="166"/>
      <c r="C149" s="169"/>
      <c r="D149" s="170"/>
      <c r="E149" s="170"/>
      <c r="F149" s="170"/>
      <c r="G149" s="170"/>
      <c r="H149" s="170"/>
      <c r="J149" s="166"/>
    </row>
    <row r="150" spans="2:10" x14ac:dyDescent="0.2">
      <c r="B150" s="166"/>
      <c r="C150" s="15" t="s">
        <v>24</v>
      </c>
      <c r="D150" s="170"/>
      <c r="E150" s="170"/>
      <c r="F150" s="170"/>
      <c r="G150" s="170"/>
      <c r="H150" s="170"/>
      <c r="J150" s="166"/>
    </row>
    <row r="151" spans="2:10" x14ac:dyDescent="0.2">
      <c r="B151" s="166"/>
      <c r="C151" s="169" t="s">
        <v>6</v>
      </c>
      <c r="D151" s="170">
        <v>-4.617</v>
      </c>
      <c r="E151" s="170" t="s">
        <v>653</v>
      </c>
      <c r="F151" s="170" t="s">
        <v>49</v>
      </c>
      <c r="G151" s="170" t="s">
        <v>9</v>
      </c>
      <c r="H151" s="170">
        <v>0.43</v>
      </c>
      <c r="J151" s="166"/>
    </row>
    <row r="152" spans="2:10" x14ac:dyDescent="0.2">
      <c r="B152" s="166"/>
      <c r="C152" s="169" t="s">
        <v>7</v>
      </c>
      <c r="D152" s="170">
        <v>-0.63480000000000003</v>
      </c>
      <c r="E152" s="170" t="s">
        <v>654</v>
      </c>
      <c r="F152" s="170" t="s">
        <v>49</v>
      </c>
      <c r="G152" s="170" t="s">
        <v>9</v>
      </c>
      <c r="H152" s="174" t="s">
        <v>50</v>
      </c>
      <c r="J152" s="166"/>
    </row>
    <row r="153" spans="2:10" x14ac:dyDescent="0.2">
      <c r="B153" s="166"/>
      <c r="C153" s="169" t="s">
        <v>8</v>
      </c>
      <c r="D153" s="170">
        <v>1.1419999999999999</v>
      </c>
      <c r="E153" s="170" t="s">
        <v>655</v>
      </c>
      <c r="F153" s="170" t="s">
        <v>49</v>
      </c>
      <c r="G153" s="170" t="s">
        <v>9</v>
      </c>
      <c r="H153" s="170">
        <v>0.88</v>
      </c>
      <c r="J153" s="166"/>
    </row>
    <row r="154" spans="2:10" x14ac:dyDescent="0.2">
      <c r="B154" s="166"/>
      <c r="C154" s="166"/>
      <c r="D154" s="166"/>
      <c r="E154" s="166"/>
      <c r="F154" s="166"/>
      <c r="G154" s="166"/>
      <c r="H154" s="166"/>
      <c r="I154" s="166"/>
      <c r="J154" s="166"/>
    </row>
  </sheetData>
  <mergeCells count="16">
    <mergeCell ref="AA6:AC6"/>
    <mergeCell ref="D22:G22"/>
    <mergeCell ref="H22:J22"/>
    <mergeCell ref="K22:L22"/>
    <mergeCell ref="M22:O22"/>
    <mergeCell ref="D6:G6"/>
    <mergeCell ref="H6:J6"/>
    <mergeCell ref="K6:L6"/>
    <mergeCell ref="M6:O6"/>
    <mergeCell ref="R6:U6"/>
    <mergeCell ref="V6:X6"/>
    <mergeCell ref="D39:G39"/>
    <mergeCell ref="H39:J39"/>
    <mergeCell ref="K39:L39"/>
    <mergeCell ref="M39:O39"/>
    <mergeCell ref="Y6:Z6"/>
  </mergeCells>
  <pageMargins left="0.7" right="0.7" top="0.78740157499999996" bottom="0.78740157499999996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2:R114"/>
  <sheetViews>
    <sheetView workbookViewId="0">
      <selection activeCell="F4" sqref="F4"/>
    </sheetView>
  </sheetViews>
  <sheetFormatPr baseColWidth="10" defaultColWidth="10.83203125" defaultRowHeight="16" x14ac:dyDescent="0.2"/>
  <cols>
    <col min="1" max="1" width="19.5" style="27" customWidth="1"/>
    <col min="2" max="2" width="14.6640625" style="27" customWidth="1"/>
    <col min="3" max="3" width="19.6640625" style="27" customWidth="1"/>
    <col min="4" max="4" width="18.83203125" style="27" customWidth="1"/>
    <col min="5" max="5" width="20" style="27" customWidth="1"/>
    <col min="6" max="8" width="10.83203125" style="27"/>
    <col min="9" max="10" width="17.33203125" style="27" bestFit="1" customWidth="1"/>
    <col min="11" max="11" width="17.83203125" style="27" bestFit="1" customWidth="1"/>
    <col min="12" max="14" width="10.83203125" style="27"/>
    <col min="15" max="16" width="17.33203125" style="27" bestFit="1" customWidth="1"/>
    <col min="17" max="17" width="17.83203125" style="27" bestFit="1" customWidth="1"/>
    <col min="18" max="20" width="10.83203125" style="27"/>
    <col min="21" max="22" width="17.33203125" style="27" bestFit="1" customWidth="1"/>
    <col min="23" max="23" width="17.83203125" style="27" bestFit="1" customWidth="1"/>
    <col min="24" max="16384" width="10.83203125" style="27"/>
  </cols>
  <sheetData>
    <row r="2" spans="1:12" ht="18" x14ac:dyDescent="0.2">
      <c r="A2" s="53" t="s">
        <v>740</v>
      </c>
      <c r="B2" s="80"/>
      <c r="C2" s="9"/>
      <c r="D2" s="9"/>
      <c r="E2" s="9"/>
      <c r="F2" s="9"/>
    </row>
    <row r="3" spans="1:12" x14ac:dyDescent="0.2">
      <c r="A3" s="9"/>
      <c r="B3" s="9"/>
      <c r="C3" s="9"/>
      <c r="D3" s="9"/>
      <c r="E3" s="9"/>
      <c r="F3" s="9"/>
    </row>
    <row r="4" spans="1:12" ht="18" x14ac:dyDescent="0.2">
      <c r="A4" s="14" t="s">
        <v>1040</v>
      </c>
      <c r="B4" s="14"/>
      <c r="C4" s="14"/>
      <c r="D4" s="14"/>
      <c r="E4" s="9"/>
      <c r="F4" s="9"/>
    </row>
    <row r="5" spans="1:12" x14ac:dyDescent="0.2">
      <c r="A5" s="9"/>
      <c r="B5" s="9"/>
      <c r="C5" s="9"/>
      <c r="D5" s="9"/>
      <c r="E5" s="9"/>
      <c r="F5" s="9"/>
    </row>
    <row r="6" spans="1:12" x14ac:dyDescent="0.2">
      <c r="A6" s="9"/>
      <c r="B6" s="9" t="s">
        <v>179</v>
      </c>
      <c r="C6" s="9"/>
      <c r="D6" s="9"/>
      <c r="E6" s="9"/>
      <c r="F6" s="9"/>
      <c r="H6" s="143" t="s">
        <v>180</v>
      </c>
    </row>
    <row r="7" spans="1:12" x14ac:dyDescent="0.2">
      <c r="A7" s="9"/>
      <c r="C7" s="9"/>
      <c r="D7" s="9"/>
      <c r="E7" s="9"/>
      <c r="F7" s="9"/>
    </row>
    <row r="8" spans="1:12" x14ac:dyDescent="0.2">
      <c r="A8" s="9"/>
      <c r="B8" s="238" t="s">
        <v>1</v>
      </c>
      <c r="C8" s="235" t="s">
        <v>733</v>
      </c>
      <c r="D8" s="235" t="s">
        <v>734</v>
      </c>
      <c r="E8" s="235" t="s">
        <v>735</v>
      </c>
      <c r="F8" s="110"/>
      <c r="H8" s="238" t="s">
        <v>1</v>
      </c>
      <c r="I8" s="235" t="s">
        <v>736</v>
      </c>
      <c r="J8" s="235" t="s">
        <v>737</v>
      </c>
      <c r="K8" s="235" t="s">
        <v>738</v>
      </c>
      <c r="L8" s="235" t="s">
        <v>336</v>
      </c>
    </row>
    <row r="9" spans="1:12" x14ac:dyDescent="0.2">
      <c r="A9" s="9"/>
      <c r="B9" s="436" t="s">
        <v>32</v>
      </c>
      <c r="C9" s="55">
        <f>I9/L9*100</f>
        <v>8.695652173913043</v>
      </c>
      <c r="D9" s="55">
        <f t="shared" ref="D9:D18" si="0">J9/L9*100</f>
        <v>13.043478260869565</v>
      </c>
      <c r="E9" s="55">
        <f t="shared" ref="E9:E18" si="1">K9/L9*100</f>
        <v>4.3478260869565215</v>
      </c>
      <c r="F9" s="64"/>
      <c r="H9" s="436" t="s">
        <v>32</v>
      </c>
      <c r="I9" s="17">
        <v>4</v>
      </c>
      <c r="J9" s="17">
        <v>6</v>
      </c>
      <c r="K9" s="17">
        <v>2</v>
      </c>
      <c r="L9" s="17">
        <v>46</v>
      </c>
    </row>
    <row r="10" spans="1:12" x14ac:dyDescent="0.2">
      <c r="A10" s="9"/>
      <c r="B10" s="436" t="s">
        <v>33</v>
      </c>
      <c r="C10" s="55">
        <f t="shared" ref="C10:C18" si="2">I10/L10*100</f>
        <v>11.363636363636363</v>
      </c>
      <c r="D10" s="55">
        <f t="shared" si="0"/>
        <v>9.0909090909090917</v>
      </c>
      <c r="E10" s="55">
        <f t="shared" si="1"/>
        <v>9.0909090909090917</v>
      </c>
      <c r="F10" s="64"/>
      <c r="H10" s="436" t="s">
        <v>33</v>
      </c>
      <c r="I10" s="17">
        <v>5</v>
      </c>
      <c r="J10" s="17">
        <v>4</v>
      </c>
      <c r="K10" s="17">
        <v>4</v>
      </c>
      <c r="L10" s="17">
        <v>44</v>
      </c>
    </row>
    <row r="11" spans="1:12" x14ac:dyDescent="0.2">
      <c r="A11" s="9"/>
      <c r="B11" s="436" t="s">
        <v>34</v>
      </c>
      <c r="C11" s="55">
        <f t="shared" si="2"/>
        <v>11.320754716981133</v>
      </c>
      <c r="D11" s="55">
        <f t="shared" si="0"/>
        <v>13.20754716981132</v>
      </c>
      <c r="E11" s="55">
        <f t="shared" si="1"/>
        <v>9.433962264150944</v>
      </c>
      <c r="F11" s="64"/>
      <c r="H11" s="450" t="s">
        <v>34</v>
      </c>
      <c r="I11" s="17">
        <v>6</v>
      </c>
      <c r="J11" s="17">
        <v>7</v>
      </c>
      <c r="K11" s="17">
        <v>5</v>
      </c>
      <c r="L11" s="17">
        <v>53</v>
      </c>
    </row>
    <row r="12" spans="1:12" x14ac:dyDescent="0.2">
      <c r="A12" s="9"/>
      <c r="B12" s="436" t="s">
        <v>35</v>
      </c>
      <c r="C12" s="55">
        <f t="shared" si="2"/>
        <v>6.25</v>
      </c>
      <c r="D12" s="55">
        <f t="shared" si="0"/>
        <v>8.9285714285714288</v>
      </c>
      <c r="E12" s="55">
        <f t="shared" si="1"/>
        <v>4.4642857142857144</v>
      </c>
      <c r="F12" s="64"/>
      <c r="H12" s="436" t="s">
        <v>35</v>
      </c>
      <c r="I12" s="17">
        <v>7</v>
      </c>
      <c r="J12" s="17">
        <v>10</v>
      </c>
      <c r="K12" s="17">
        <v>5</v>
      </c>
      <c r="L12" s="17">
        <v>112</v>
      </c>
    </row>
    <row r="13" spans="1:12" x14ac:dyDescent="0.2">
      <c r="A13" s="9"/>
      <c r="B13" s="436" t="s">
        <v>81</v>
      </c>
      <c r="C13" s="55">
        <f t="shared" si="2"/>
        <v>10.112359550561797</v>
      </c>
      <c r="D13" s="55">
        <f t="shared" si="0"/>
        <v>21.348314606741571</v>
      </c>
      <c r="E13" s="55">
        <f t="shared" si="1"/>
        <v>7.8651685393258424</v>
      </c>
      <c r="F13" s="64"/>
      <c r="H13" s="436" t="s">
        <v>81</v>
      </c>
      <c r="I13" s="17">
        <v>9</v>
      </c>
      <c r="J13" s="17">
        <v>19</v>
      </c>
      <c r="K13" s="17">
        <v>7</v>
      </c>
      <c r="L13" s="17">
        <v>89</v>
      </c>
    </row>
    <row r="14" spans="1:12" x14ac:dyDescent="0.2">
      <c r="A14" s="9"/>
      <c r="B14" s="436" t="s">
        <v>169</v>
      </c>
      <c r="C14" s="55">
        <f t="shared" si="2"/>
        <v>5.7692307692307692</v>
      </c>
      <c r="D14" s="55">
        <f t="shared" si="0"/>
        <v>15.384615384615385</v>
      </c>
      <c r="E14" s="55">
        <f t="shared" si="1"/>
        <v>3.8461538461538463</v>
      </c>
      <c r="F14" s="232"/>
      <c r="H14" s="436" t="s">
        <v>169</v>
      </c>
      <c r="I14" s="17">
        <v>3</v>
      </c>
      <c r="J14" s="17">
        <v>8</v>
      </c>
      <c r="K14" s="17">
        <v>2</v>
      </c>
      <c r="L14" s="17">
        <v>52</v>
      </c>
    </row>
    <row r="15" spans="1:12" x14ac:dyDescent="0.2">
      <c r="B15" s="436" t="s">
        <v>170</v>
      </c>
      <c r="C15" s="55">
        <f t="shared" si="2"/>
        <v>4.5454545454545459</v>
      </c>
      <c r="D15" s="55">
        <f t="shared" si="0"/>
        <v>11.363636363636363</v>
      </c>
      <c r="E15" s="55">
        <f t="shared" si="1"/>
        <v>2.2727272727272729</v>
      </c>
      <c r="H15" s="436" t="s">
        <v>170</v>
      </c>
      <c r="I15" s="17">
        <v>2</v>
      </c>
      <c r="J15" s="17">
        <v>5</v>
      </c>
      <c r="K15" s="17">
        <v>1</v>
      </c>
      <c r="L15" s="17">
        <v>44</v>
      </c>
    </row>
    <row r="16" spans="1:12" x14ac:dyDescent="0.2">
      <c r="B16" s="436" t="s">
        <v>171</v>
      </c>
      <c r="C16" s="55">
        <f t="shared" si="2"/>
        <v>11.76470588235294</v>
      </c>
      <c r="D16" s="55">
        <f t="shared" si="0"/>
        <v>15.686274509803921</v>
      </c>
      <c r="E16" s="55">
        <f t="shared" si="1"/>
        <v>7.8431372549019605</v>
      </c>
      <c r="H16" s="436" t="s">
        <v>171</v>
      </c>
      <c r="I16" s="17">
        <v>6</v>
      </c>
      <c r="J16" s="17">
        <v>8</v>
      </c>
      <c r="K16" s="17">
        <v>4</v>
      </c>
      <c r="L16" s="17">
        <v>51</v>
      </c>
    </row>
    <row r="17" spans="2:12" x14ac:dyDescent="0.2">
      <c r="B17" s="436" t="s">
        <v>172</v>
      </c>
      <c r="C17" s="55">
        <f t="shared" si="2"/>
        <v>6.4102564102564097</v>
      </c>
      <c r="D17" s="55">
        <f t="shared" si="0"/>
        <v>14.102564102564102</v>
      </c>
      <c r="E17" s="55">
        <f t="shared" si="1"/>
        <v>5.1282051282051277</v>
      </c>
      <c r="H17" s="436" t="s">
        <v>172</v>
      </c>
      <c r="I17" s="17">
        <v>5</v>
      </c>
      <c r="J17" s="17">
        <v>11</v>
      </c>
      <c r="K17" s="17">
        <v>4</v>
      </c>
      <c r="L17" s="17">
        <v>78</v>
      </c>
    </row>
    <row r="18" spans="2:12" x14ac:dyDescent="0.2">
      <c r="B18" s="436" t="s">
        <v>739</v>
      </c>
      <c r="C18" s="55">
        <f t="shared" si="2"/>
        <v>8.4337349397590362</v>
      </c>
      <c r="D18" s="55">
        <f t="shared" si="0"/>
        <v>19.277108433734941</v>
      </c>
      <c r="E18" s="55">
        <f t="shared" si="1"/>
        <v>6.024096385542169</v>
      </c>
      <c r="H18" s="436" t="s">
        <v>739</v>
      </c>
      <c r="I18" s="17">
        <v>7</v>
      </c>
      <c r="J18" s="17">
        <v>16</v>
      </c>
      <c r="K18" s="17">
        <v>5</v>
      </c>
      <c r="L18" s="17">
        <v>83</v>
      </c>
    </row>
    <row r="21" spans="2:12" x14ac:dyDescent="0.2">
      <c r="B21" s="9" t="s">
        <v>179</v>
      </c>
      <c r="C21" s="9"/>
      <c r="D21" s="9"/>
      <c r="E21" s="9"/>
      <c r="H21" s="143" t="s">
        <v>180</v>
      </c>
    </row>
    <row r="22" spans="2:12" x14ac:dyDescent="0.2">
      <c r="C22" s="9"/>
      <c r="D22" s="9"/>
      <c r="E22" s="9"/>
    </row>
    <row r="23" spans="2:12" x14ac:dyDescent="0.2">
      <c r="B23" s="238" t="s">
        <v>2</v>
      </c>
      <c r="C23" s="235" t="s">
        <v>733</v>
      </c>
      <c r="D23" s="235" t="s">
        <v>734</v>
      </c>
      <c r="E23" s="235" t="s">
        <v>735</v>
      </c>
      <c r="H23" s="238" t="s">
        <v>2</v>
      </c>
      <c r="I23" s="235" t="s">
        <v>736</v>
      </c>
      <c r="J23" s="235" t="s">
        <v>737</v>
      </c>
      <c r="K23" s="235" t="s">
        <v>738</v>
      </c>
      <c r="L23" s="235" t="s">
        <v>336</v>
      </c>
    </row>
    <row r="24" spans="2:12" x14ac:dyDescent="0.2">
      <c r="B24" s="436" t="s">
        <v>32</v>
      </c>
      <c r="C24" s="55">
        <f>I24/L24*100</f>
        <v>9.3023255813953494</v>
      </c>
      <c r="D24" s="55">
        <f t="shared" ref="D24:D29" si="3">J24/L24*100</f>
        <v>13.953488372093023</v>
      </c>
      <c r="E24" s="55">
        <f t="shared" ref="E24:E29" si="4">K24/L24*100</f>
        <v>33.720930232558139</v>
      </c>
      <c r="H24" s="436" t="s">
        <v>32</v>
      </c>
      <c r="I24" s="17">
        <v>8</v>
      </c>
      <c r="J24" s="17">
        <v>12</v>
      </c>
      <c r="K24" s="17">
        <v>29</v>
      </c>
      <c r="L24" s="17">
        <v>86</v>
      </c>
    </row>
    <row r="25" spans="2:12" x14ac:dyDescent="0.2">
      <c r="B25" s="436" t="s">
        <v>33</v>
      </c>
      <c r="C25" s="55">
        <f t="shared" ref="C25:C29" si="5">I25/L25*100</f>
        <v>10.44776119402985</v>
      </c>
      <c r="D25" s="55">
        <f t="shared" si="3"/>
        <v>26.865671641791046</v>
      </c>
      <c r="E25" s="55">
        <f t="shared" si="4"/>
        <v>8.9552238805970141</v>
      </c>
      <c r="H25" s="436" t="s">
        <v>33</v>
      </c>
      <c r="I25" s="17">
        <v>14</v>
      </c>
      <c r="J25" s="17">
        <v>36</v>
      </c>
      <c r="K25" s="17">
        <v>12</v>
      </c>
      <c r="L25" s="17">
        <v>134</v>
      </c>
    </row>
    <row r="26" spans="2:12" x14ac:dyDescent="0.2">
      <c r="B26" s="436" t="s">
        <v>34</v>
      </c>
      <c r="C26" s="55">
        <f t="shared" si="5"/>
        <v>23.809523809523807</v>
      </c>
      <c r="D26" s="55">
        <f t="shared" si="3"/>
        <v>39.285714285714285</v>
      </c>
      <c r="E26" s="55">
        <f t="shared" si="4"/>
        <v>17.857142857142858</v>
      </c>
      <c r="H26" s="436" t="s">
        <v>34</v>
      </c>
      <c r="I26" s="17">
        <v>20</v>
      </c>
      <c r="J26" s="17">
        <v>33</v>
      </c>
      <c r="K26" s="17">
        <v>15</v>
      </c>
      <c r="L26" s="17">
        <v>84</v>
      </c>
    </row>
    <row r="27" spans="2:12" x14ac:dyDescent="0.2">
      <c r="B27" s="436" t="s">
        <v>35</v>
      </c>
      <c r="C27" s="55">
        <f t="shared" si="5"/>
        <v>16.853932584269664</v>
      </c>
      <c r="D27" s="55">
        <f t="shared" si="3"/>
        <v>23.595505617977526</v>
      </c>
      <c r="E27" s="55">
        <f t="shared" si="4"/>
        <v>17.977528089887642</v>
      </c>
      <c r="H27" s="436" t="s">
        <v>35</v>
      </c>
      <c r="I27" s="17">
        <v>15</v>
      </c>
      <c r="J27" s="17">
        <v>21</v>
      </c>
      <c r="K27" s="17">
        <v>16</v>
      </c>
      <c r="L27" s="17">
        <v>89</v>
      </c>
    </row>
    <row r="28" spans="2:12" x14ac:dyDescent="0.2">
      <c r="B28" s="436" t="s">
        <v>81</v>
      </c>
      <c r="C28" s="55">
        <f t="shared" si="5"/>
        <v>28.39506172839506</v>
      </c>
      <c r="D28" s="55">
        <f t="shared" si="3"/>
        <v>24.691358024691358</v>
      </c>
      <c r="E28" s="55">
        <f t="shared" si="4"/>
        <v>12.345679012345679</v>
      </c>
      <c r="H28" s="436" t="s">
        <v>81</v>
      </c>
      <c r="I28" s="17">
        <v>23</v>
      </c>
      <c r="J28" s="17">
        <v>20</v>
      </c>
      <c r="K28" s="17">
        <v>10</v>
      </c>
      <c r="L28" s="17">
        <v>81</v>
      </c>
    </row>
    <row r="29" spans="2:12" x14ac:dyDescent="0.2">
      <c r="B29" s="436" t="s">
        <v>169</v>
      </c>
      <c r="C29" s="55">
        <f t="shared" si="5"/>
        <v>19.387755102040817</v>
      </c>
      <c r="D29" s="55">
        <f t="shared" si="3"/>
        <v>26.530612244897959</v>
      </c>
      <c r="E29" s="55">
        <f t="shared" si="4"/>
        <v>20.408163265306122</v>
      </c>
      <c r="H29" s="436" t="s">
        <v>169</v>
      </c>
      <c r="I29" s="17">
        <v>19</v>
      </c>
      <c r="J29" s="17">
        <v>26</v>
      </c>
      <c r="K29" s="17">
        <v>20</v>
      </c>
      <c r="L29" s="17">
        <v>98</v>
      </c>
    </row>
    <row r="32" spans="2:12" x14ac:dyDescent="0.2">
      <c r="B32" s="9" t="s">
        <v>179</v>
      </c>
      <c r="C32" s="9"/>
      <c r="D32" s="9"/>
      <c r="E32" s="9"/>
      <c r="H32" s="143" t="s">
        <v>180</v>
      </c>
    </row>
    <row r="33" spans="2:18" x14ac:dyDescent="0.2">
      <c r="C33" s="9"/>
      <c r="D33" s="9"/>
      <c r="E33" s="9"/>
    </row>
    <row r="34" spans="2:18" x14ac:dyDescent="0.2">
      <c r="B34" s="238" t="s">
        <v>3</v>
      </c>
      <c r="C34" s="235" t="s">
        <v>733</v>
      </c>
      <c r="D34" s="235" t="s">
        <v>734</v>
      </c>
      <c r="E34" s="235" t="s">
        <v>735</v>
      </c>
      <c r="H34" s="238" t="s">
        <v>3</v>
      </c>
      <c r="I34" s="235" t="s">
        <v>736</v>
      </c>
      <c r="J34" s="235" t="s">
        <v>737</v>
      </c>
      <c r="K34" s="235" t="s">
        <v>738</v>
      </c>
      <c r="L34" s="235" t="s">
        <v>336</v>
      </c>
    </row>
    <row r="35" spans="2:18" x14ac:dyDescent="0.2">
      <c r="B35" s="436" t="s">
        <v>32</v>
      </c>
      <c r="C35" s="55">
        <f>I35/L35*100</f>
        <v>25.438596491228072</v>
      </c>
      <c r="D35" s="55">
        <f>J35/L35*100</f>
        <v>34.210526315789473</v>
      </c>
      <c r="E35" s="55">
        <f>K35/L35*100</f>
        <v>5.2631578947368416</v>
      </c>
      <c r="H35" s="436" t="s">
        <v>32</v>
      </c>
      <c r="I35" s="17">
        <f>35-6</f>
        <v>29</v>
      </c>
      <c r="J35" s="17">
        <v>39</v>
      </c>
      <c r="K35" s="17">
        <v>6</v>
      </c>
      <c r="L35" s="17">
        <v>114</v>
      </c>
    </row>
    <row r="36" spans="2:18" x14ac:dyDescent="0.2">
      <c r="B36" s="436" t="s">
        <v>33</v>
      </c>
      <c r="C36" s="55">
        <f>I36/L36*100</f>
        <v>12.790697674418606</v>
      </c>
      <c r="D36" s="55">
        <f>J36/L36*100</f>
        <v>34.883720930232556</v>
      </c>
      <c r="E36" s="55">
        <f>K36/L36*100</f>
        <v>6.9767441860465116</v>
      </c>
      <c r="H36" s="436" t="s">
        <v>33</v>
      </c>
      <c r="I36" s="17">
        <f>17-6</f>
        <v>11</v>
      </c>
      <c r="J36" s="17">
        <v>30</v>
      </c>
      <c r="K36" s="17">
        <v>6</v>
      </c>
      <c r="L36" s="17">
        <v>86</v>
      </c>
    </row>
    <row r="37" spans="2:18" x14ac:dyDescent="0.2">
      <c r="B37" s="436" t="s">
        <v>34</v>
      </c>
      <c r="C37" s="55">
        <f>I37/L37*100</f>
        <v>1.25</v>
      </c>
      <c r="D37" s="55">
        <f>J37/L37*100</f>
        <v>20</v>
      </c>
      <c r="E37" s="55">
        <f>K37/L37*100</f>
        <v>23.75</v>
      </c>
      <c r="H37" s="450" t="s">
        <v>34</v>
      </c>
      <c r="I37" s="17">
        <f>20-19</f>
        <v>1</v>
      </c>
      <c r="J37" s="17">
        <v>16</v>
      </c>
      <c r="K37" s="17">
        <v>19</v>
      </c>
      <c r="L37" s="17">
        <v>80</v>
      </c>
    </row>
    <row r="38" spans="2:18" x14ac:dyDescent="0.2">
      <c r="B38" s="436" t="s">
        <v>35</v>
      </c>
      <c r="C38" s="55">
        <f>I38/L38*100</f>
        <v>6.8965517241379306</v>
      </c>
      <c r="D38" s="55">
        <f>J38/L38*100</f>
        <v>20.689655172413794</v>
      </c>
      <c r="E38" s="55">
        <f>K38/L38*100</f>
        <v>11.494252873563218</v>
      </c>
      <c r="H38" s="436" t="s">
        <v>35</v>
      </c>
      <c r="I38" s="17">
        <f>16-10</f>
        <v>6</v>
      </c>
      <c r="J38" s="17">
        <v>18</v>
      </c>
      <c r="K38" s="17">
        <v>10</v>
      </c>
      <c r="L38" s="17">
        <v>87</v>
      </c>
    </row>
    <row r="39" spans="2:18" x14ac:dyDescent="0.2">
      <c r="B39" s="436" t="s">
        <v>81</v>
      </c>
      <c r="C39" s="55">
        <f>I39/L39*100</f>
        <v>28.155339805825243</v>
      </c>
      <c r="D39" s="55">
        <f>J39/L39*100</f>
        <v>37.864077669902912</v>
      </c>
      <c r="E39" s="55">
        <f>K39/L39*100</f>
        <v>4.8543689320388346</v>
      </c>
      <c r="H39" s="436" t="s">
        <v>81</v>
      </c>
      <c r="I39" s="17">
        <f>34-5</f>
        <v>29</v>
      </c>
      <c r="J39" s="17">
        <v>39</v>
      </c>
      <c r="K39" s="17">
        <v>5</v>
      </c>
      <c r="L39" s="17">
        <v>103</v>
      </c>
    </row>
    <row r="42" spans="2:18" x14ac:dyDescent="0.2">
      <c r="B42" s="9" t="s">
        <v>179</v>
      </c>
      <c r="C42" s="9"/>
      <c r="D42" s="9"/>
      <c r="E42" s="9"/>
      <c r="H42" s="143" t="s">
        <v>180</v>
      </c>
    </row>
    <row r="43" spans="2:18" x14ac:dyDescent="0.2">
      <c r="C43" s="9"/>
      <c r="D43" s="9"/>
      <c r="E43" s="9"/>
    </row>
    <row r="44" spans="2:18" x14ac:dyDescent="0.2">
      <c r="B44" s="238" t="s">
        <v>4</v>
      </c>
      <c r="C44" s="235" t="s">
        <v>733</v>
      </c>
      <c r="D44" s="235" t="s">
        <v>734</v>
      </c>
      <c r="E44" s="235" t="s">
        <v>735</v>
      </c>
      <c r="H44" s="238" t="s">
        <v>4</v>
      </c>
      <c r="I44" s="235" t="s">
        <v>736</v>
      </c>
      <c r="J44" s="235" t="s">
        <v>737</v>
      </c>
      <c r="K44" s="235" t="s">
        <v>738</v>
      </c>
      <c r="L44" s="235" t="s">
        <v>336</v>
      </c>
    </row>
    <row r="45" spans="2:18" x14ac:dyDescent="0.2">
      <c r="B45" s="436" t="s">
        <v>32</v>
      </c>
      <c r="C45" s="55">
        <f>I45/L45*100</f>
        <v>12.76595744680851</v>
      </c>
      <c r="D45" s="55">
        <f>J45/L45*100</f>
        <v>27.659574468085108</v>
      </c>
      <c r="E45" s="55">
        <f>K45/L45*100</f>
        <v>14.893617021276595</v>
      </c>
      <c r="F45" s="9"/>
      <c r="H45" s="436" t="s">
        <v>32</v>
      </c>
      <c r="I45" s="17">
        <v>6</v>
      </c>
      <c r="J45" s="17">
        <v>13</v>
      </c>
      <c r="K45" s="17">
        <v>7</v>
      </c>
      <c r="L45" s="17">
        <v>47</v>
      </c>
      <c r="R45" s="9"/>
    </row>
    <row r="46" spans="2:18" x14ac:dyDescent="0.2">
      <c r="B46" s="436" t="s">
        <v>33</v>
      </c>
      <c r="C46" s="55">
        <f>I46/L46*100</f>
        <v>15.789473684210526</v>
      </c>
      <c r="D46" s="55">
        <f>J46/L46*100</f>
        <v>27.631578947368425</v>
      </c>
      <c r="E46" s="55">
        <f>K46/L46*100</f>
        <v>21.052631578947366</v>
      </c>
      <c r="F46" s="9"/>
      <c r="H46" s="436" t="s">
        <v>33</v>
      </c>
      <c r="I46" s="17">
        <v>12</v>
      </c>
      <c r="J46" s="17">
        <v>21</v>
      </c>
      <c r="K46" s="17">
        <v>16</v>
      </c>
      <c r="L46" s="17">
        <v>76</v>
      </c>
      <c r="R46" s="9"/>
    </row>
    <row r="47" spans="2:18" x14ac:dyDescent="0.2">
      <c r="B47" s="436" t="s">
        <v>34</v>
      </c>
      <c r="C47" s="55">
        <f>I47/L47*100</f>
        <v>22.950819672131146</v>
      </c>
      <c r="D47" s="55">
        <f>J47/L47*100</f>
        <v>42.622950819672127</v>
      </c>
      <c r="E47" s="55">
        <f>K47/L47*100</f>
        <v>14.754098360655737</v>
      </c>
      <c r="F47" s="110"/>
      <c r="G47" s="110"/>
      <c r="H47" s="450" t="s">
        <v>34</v>
      </c>
      <c r="I47" s="17">
        <v>14</v>
      </c>
      <c r="J47" s="17">
        <v>26</v>
      </c>
      <c r="K47" s="17">
        <v>9</v>
      </c>
      <c r="L47" s="17">
        <v>61</v>
      </c>
      <c r="R47" s="110"/>
    </row>
    <row r="48" spans="2:18" x14ac:dyDescent="0.2">
      <c r="B48" s="436" t="s">
        <v>35</v>
      </c>
      <c r="C48" s="55">
        <f>I48/L48*100</f>
        <v>12.5</v>
      </c>
      <c r="D48" s="55">
        <f>J48/L48*100</f>
        <v>35.416666666666671</v>
      </c>
      <c r="E48" s="55">
        <f>K48/L48*100</f>
        <v>14.583333333333334</v>
      </c>
      <c r="F48" s="64"/>
      <c r="G48" s="64"/>
      <c r="H48" s="436" t="s">
        <v>35</v>
      </c>
      <c r="I48" s="17">
        <v>6</v>
      </c>
      <c r="J48" s="17">
        <v>17</v>
      </c>
      <c r="K48" s="17">
        <v>7</v>
      </c>
      <c r="L48" s="17">
        <v>48</v>
      </c>
      <c r="R48" s="64"/>
    </row>
    <row r="49" spans="1:18" x14ac:dyDescent="0.2">
      <c r="B49" s="436" t="s">
        <v>81</v>
      </c>
      <c r="C49" s="55">
        <f>I49/L49*100</f>
        <v>14.634146341463413</v>
      </c>
      <c r="D49" s="55">
        <f>J49/L49*100</f>
        <v>32.926829268292686</v>
      </c>
      <c r="E49" s="55">
        <f>K49/L49*100</f>
        <v>8.536585365853659</v>
      </c>
      <c r="F49" s="64"/>
      <c r="G49" s="64"/>
      <c r="H49" s="436" t="s">
        <v>81</v>
      </c>
      <c r="I49" s="17">
        <v>12</v>
      </c>
      <c r="J49" s="17">
        <v>27</v>
      </c>
      <c r="K49" s="17">
        <v>7</v>
      </c>
      <c r="L49" s="17">
        <v>82</v>
      </c>
      <c r="R49" s="64"/>
    </row>
    <row r="50" spans="1:18" x14ac:dyDescent="0.2">
      <c r="F50" s="64"/>
      <c r="G50" s="64"/>
      <c r="L50" s="64"/>
      <c r="R50" s="64"/>
    </row>
    <row r="51" spans="1:18" x14ac:dyDescent="0.2">
      <c r="F51" s="64"/>
      <c r="H51" s="107" t="s">
        <v>338</v>
      </c>
      <c r="R51" s="64"/>
    </row>
    <row r="52" spans="1:18" x14ac:dyDescent="0.2">
      <c r="A52" s="68" t="s">
        <v>51</v>
      </c>
      <c r="B52" s="59" t="s">
        <v>1</v>
      </c>
      <c r="C52" s="17">
        <f>AVERAGE(C9:C18)</f>
        <v>8.4665785352146035</v>
      </c>
      <c r="D52" s="17">
        <f>AVERAGE(D9:D18)</f>
        <v>14.143301935125768</v>
      </c>
      <c r="E52" s="17">
        <f>AVERAGE(E9:E18)</f>
        <v>6.0316471583158489</v>
      </c>
      <c r="F52" s="64"/>
      <c r="R52" s="64"/>
    </row>
    <row r="53" spans="1:18" x14ac:dyDescent="0.2">
      <c r="B53" s="59" t="s">
        <v>2</v>
      </c>
      <c r="C53" s="17">
        <f>AVERAGE(C24:C29)</f>
        <v>18.03272666660909</v>
      </c>
      <c r="D53" s="17">
        <f>AVERAGE(D24:D29)</f>
        <v>25.820391697860867</v>
      </c>
      <c r="E53" s="17">
        <f>AVERAGE(E24:E29)</f>
        <v>18.544111222972912</v>
      </c>
      <c r="F53" s="232"/>
      <c r="H53" s="59"/>
      <c r="I53" s="235" t="s">
        <v>736</v>
      </c>
      <c r="J53" s="235" t="s">
        <v>737</v>
      </c>
      <c r="K53" s="235" t="s">
        <v>738</v>
      </c>
      <c r="L53" s="235" t="s">
        <v>336</v>
      </c>
      <c r="N53" s="107"/>
      <c r="O53" s="64"/>
      <c r="P53" s="64"/>
      <c r="Q53" s="64"/>
      <c r="R53" s="232"/>
    </row>
    <row r="54" spans="1:18" x14ac:dyDescent="0.2">
      <c r="B54" s="59" t="s">
        <v>3</v>
      </c>
      <c r="C54" s="17">
        <f>AVERAGE(C35:C39)</f>
        <v>14.90623713912197</v>
      </c>
      <c r="D54" s="17">
        <f>AVERAGE(D35:D39)</f>
        <v>29.529596017667746</v>
      </c>
      <c r="E54" s="17">
        <f>AVERAGE(E35:E39)</f>
        <v>10.467704777277081</v>
      </c>
      <c r="H54" s="59" t="s">
        <v>1</v>
      </c>
      <c r="I54" s="17">
        <f>SUM(I9:I18)</f>
        <v>54</v>
      </c>
      <c r="J54" s="17">
        <f>SUM(J9:J18)</f>
        <v>94</v>
      </c>
      <c r="K54" s="17">
        <f>SUM(K9:K18)</f>
        <v>39</v>
      </c>
      <c r="L54" s="17">
        <f>SUM(L9:L18)</f>
        <v>652</v>
      </c>
      <c r="N54" s="201"/>
      <c r="O54" s="201"/>
      <c r="P54" s="201"/>
      <c r="Q54" s="201"/>
    </row>
    <row r="55" spans="1:18" x14ac:dyDescent="0.2">
      <c r="B55" s="59" t="s">
        <v>4</v>
      </c>
      <c r="C55" s="17">
        <f>AVERAGE(C45:C49)</f>
        <v>15.728079428922717</v>
      </c>
      <c r="D55" s="17">
        <f>AVERAGE(D45:D49)</f>
        <v>33.251520034017005</v>
      </c>
      <c r="E55" s="17">
        <f>AVERAGE(E45:E49)</f>
        <v>14.764053132013336</v>
      </c>
      <c r="H55" s="59" t="s">
        <v>2</v>
      </c>
      <c r="I55" s="17">
        <f>SUM(I24:I29)</f>
        <v>99</v>
      </c>
      <c r="J55" s="17">
        <f>SUM(J24:J29)</f>
        <v>148</v>
      </c>
      <c r="K55" s="17">
        <f>SUM(K24:K29)</f>
        <v>102</v>
      </c>
      <c r="L55" s="17">
        <f>SUM(L24:L29)</f>
        <v>572</v>
      </c>
    </row>
    <row r="56" spans="1:18" x14ac:dyDescent="0.2">
      <c r="H56" s="59" t="s">
        <v>3</v>
      </c>
      <c r="I56" s="17">
        <f>SUM(I35:I39)</f>
        <v>76</v>
      </c>
      <c r="J56" s="17">
        <f>SUM(J35:J39)</f>
        <v>142</v>
      </c>
      <c r="K56" s="17">
        <f>SUM(K35:K39)</f>
        <v>46</v>
      </c>
      <c r="L56" s="17">
        <f>SUM(L35:L39)</f>
        <v>470</v>
      </c>
    </row>
    <row r="57" spans="1:18" x14ac:dyDescent="0.2">
      <c r="H57" s="59" t="s">
        <v>4</v>
      </c>
      <c r="I57" s="17">
        <f>SUM(I45:I49)</f>
        <v>50</v>
      </c>
      <c r="J57" s="17">
        <f>SUM(J45:J49)</f>
        <v>104</v>
      </c>
      <c r="K57" s="17">
        <f>SUM(K45:K49)</f>
        <v>46</v>
      </c>
      <c r="L57" s="17">
        <f>SUM(L45:L49)</f>
        <v>314</v>
      </c>
    </row>
    <row r="58" spans="1:18" x14ac:dyDescent="0.2">
      <c r="A58" s="68" t="s">
        <v>13</v>
      </c>
      <c r="B58" s="59" t="s">
        <v>1</v>
      </c>
      <c r="C58" s="17">
        <f>STDEV(C9:C18)</f>
        <v>2.6240688870955888</v>
      </c>
      <c r="D58" s="17">
        <f>STDEV(D9:D18)</f>
        <v>4.0100337664589398</v>
      </c>
      <c r="E58" s="17">
        <f>STDEV(E9:E18)</f>
        <v>2.4173476790473898</v>
      </c>
    </row>
    <row r="59" spans="1:18" x14ac:dyDescent="0.2">
      <c r="B59" s="59" t="s">
        <v>2</v>
      </c>
      <c r="C59" s="17">
        <f>STDEV(C24:C29)</f>
        <v>7.45287374160349</v>
      </c>
      <c r="D59" s="17">
        <f>STDEV(D24:D29)</f>
        <v>8.1235480601557537</v>
      </c>
      <c r="E59" s="17">
        <f>STDEV(E24:E29)</f>
        <v>8.5436618564067626</v>
      </c>
    </row>
    <row r="60" spans="1:18" x14ac:dyDescent="0.2">
      <c r="B60" s="59" t="s">
        <v>3</v>
      </c>
      <c r="C60" s="17">
        <f>STDEV(C35:C39)</f>
        <v>11.636072097881659</v>
      </c>
      <c r="D60" s="17">
        <f>STDEV(D35:D39)</f>
        <v>8.4999867772574174</v>
      </c>
      <c r="E60" s="17">
        <f>STDEV(E35:E39)</f>
        <v>7.878083853182158</v>
      </c>
    </row>
    <row r="61" spans="1:18" x14ac:dyDescent="0.2">
      <c r="B61" s="59" t="s">
        <v>4</v>
      </c>
      <c r="C61" s="17">
        <f>STDEV(C45:C49)</f>
        <v>4.2591988363905262</v>
      </c>
      <c r="D61" s="17">
        <f>STDEV(D45:D49)</f>
        <v>6.2343923527937015</v>
      </c>
      <c r="E61" s="17">
        <f>STDEV(E45:E49)</f>
        <v>4.426542646533246</v>
      </c>
    </row>
    <row r="62" spans="1:18" x14ac:dyDescent="0.2">
      <c r="M62" s="200"/>
    </row>
    <row r="63" spans="1:18" x14ac:dyDescent="0.2">
      <c r="C63" s="9"/>
      <c r="D63" s="9"/>
      <c r="E63" s="9"/>
      <c r="F63" s="9"/>
      <c r="M63" s="200"/>
    </row>
    <row r="64" spans="1:18" x14ac:dyDescent="0.2">
      <c r="A64" s="68" t="s">
        <v>14</v>
      </c>
      <c r="B64" s="59" t="s">
        <v>1</v>
      </c>
      <c r="C64" s="70">
        <f>C58/(10^0.5)</f>
        <v>0.82980344204052814</v>
      </c>
      <c r="D64" s="70">
        <f>D58/(10^0.5)</f>
        <v>1.268084019619397</v>
      </c>
      <c r="E64" s="70">
        <f>E58/(10^0.5)</f>
        <v>0.7644324562311442</v>
      </c>
    </row>
    <row r="65" spans="1:18" x14ac:dyDescent="0.2">
      <c r="B65" s="59" t="s">
        <v>2</v>
      </c>
      <c r="C65" s="70">
        <f>C59/(6^0.5)</f>
        <v>3.0426229640526392</v>
      </c>
      <c r="D65" s="70">
        <f>D59/(6^0.5)</f>
        <v>3.3164246080596174</v>
      </c>
      <c r="E65" s="70">
        <f>E59/(6^0.5)</f>
        <v>3.4879353471793753</v>
      </c>
    </row>
    <row r="66" spans="1:18" x14ac:dyDescent="0.2">
      <c r="B66" s="59" t="s">
        <v>3</v>
      </c>
      <c r="C66" s="70">
        <f t="shared" ref="C66:E67" si="6">C60/(5^0.5)</f>
        <v>5.2038096403903946</v>
      </c>
      <c r="D66" s="70">
        <f t="shared" si="6"/>
        <v>3.8013096483593896</v>
      </c>
      <c r="E66" s="70">
        <f t="shared" si="6"/>
        <v>3.5231862056317556</v>
      </c>
    </row>
    <row r="67" spans="1:18" x14ac:dyDescent="0.2">
      <c r="B67" s="59" t="s">
        <v>4</v>
      </c>
      <c r="C67" s="70">
        <f t="shared" si="6"/>
        <v>1.9047716255714442</v>
      </c>
      <c r="D67" s="70">
        <f t="shared" si="6"/>
        <v>2.7881050198503132</v>
      </c>
      <c r="E67" s="70">
        <f t="shared" si="6"/>
        <v>1.9796100525900322</v>
      </c>
    </row>
    <row r="68" spans="1:18" x14ac:dyDescent="0.2">
      <c r="B68" s="21"/>
      <c r="C68" s="79"/>
      <c r="D68" s="79"/>
      <c r="E68" s="79"/>
      <c r="F68" s="166"/>
    </row>
    <row r="69" spans="1:18" x14ac:dyDescent="0.2">
      <c r="B69" s="68"/>
      <c r="C69" s="79"/>
      <c r="D69" s="79"/>
      <c r="E69" s="79"/>
      <c r="F69" s="166"/>
    </row>
    <row r="70" spans="1:18" ht="18" x14ac:dyDescent="0.2">
      <c r="A70" s="9"/>
      <c r="B70" s="19" t="s">
        <v>52</v>
      </c>
      <c r="C70" s="20"/>
      <c r="D70" s="20"/>
      <c r="F70" s="166"/>
      <c r="H70" s="107"/>
      <c r="I70" s="232"/>
      <c r="J70" s="232"/>
      <c r="K70" s="232"/>
      <c r="L70" s="68"/>
      <c r="M70" s="201"/>
      <c r="N70" s="107"/>
      <c r="O70" s="232"/>
      <c r="P70" s="232"/>
      <c r="Q70" s="232"/>
      <c r="R70" s="68"/>
    </row>
    <row r="71" spans="1:18" s="166" customFormat="1" ht="18" x14ac:dyDescent="0.2">
      <c r="A71" s="42"/>
      <c r="B71" s="80"/>
      <c r="C71" s="42"/>
      <c r="D71" s="42"/>
      <c r="H71" s="143"/>
      <c r="I71" s="65"/>
      <c r="J71" s="65"/>
      <c r="K71" s="65"/>
      <c r="L71" s="64"/>
      <c r="M71" s="101"/>
      <c r="N71" s="143"/>
      <c r="O71" s="65"/>
      <c r="P71" s="65"/>
      <c r="Q71" s="65"/>
      <c r="R71" s="64"/>
    </row>
    <row r="72" spans="1:18" x14ac:dyDescent="0.2">
      <c r="B72" s="68"/>
      <c r="C72" s="79"/>
      <c r="D72" s="79"/>
      <c r="E72" s="79"/>
    </row>
    <row r="73" spans="1:18" x14ac:dyDescent="0.2">
      <c r="A73" s="236" t="s">
        <v>733</v>
      </c>
      <c r="B73" s="15" t="s">
        <v>53</v>
      </c>
      <c r="C73" s="1"/>
      <c r="D73" s="79"/>
      <c r="E73" s="79"/>
    </row>
    <row r="74" spans="1:18" x14ac:dyDescent="0.2">
      <c r="B74" s="2" t="s">
        <v>0</v>
      </c>
      <c r="D74" s="46">
        <v>3.1549999999999998</v>
      </c>
    </row>
    <row r="75" spans="1:18" x14ac:dyDescent="0.2">
      <c r="B75" s="2" t="s">
        <v>36</v>
      </c>
      <c r="D75" s="46">
        <v>4.5100000000000001E-2</v>
      </c>
    </row>
    <row r="76" spans="1:18" x14ac:dyDescent="0.2">
      <c r="B76" s="2" t="s">
        <v>37</v>
      </c>
      <c r="D76" s="46" t="s">
        <v>12</v>
      </c>
    </row>
    <row r="77" spans="1:18" x14ac:dyDescent="0.2">
      <c r="B77" s="2" t="s">
        <v>54</v>
      </c>
      <c r="D77" s="46" t="s">
        <v>41</v>
      </c>
    </row>
    <row r="78" spans="1:18" x14ac:dyDescent="0.2">
      <c r="B78" s="2" t="s">
        <v>55</v>
      </c>
      <c r="D78" s="46">
        <v>0.30080000000000001</v>
      </c>
    </row>
    <row r="80" spans="1:18" x14ac:dyDescent="0.2">
      <c r="B80" s="3" t="s">
        <v>44</v>
      </c>
      <c r="C80" s="200"/>
      <c r="D80" s="200"/>
      <c r="E80" s="200"/>
      <c r="F80" s="200"/>
      <c r="G80" s="200"/>
    </row>
    <row r="81" spans="1:7" x14ac:dyDescent="0.2">
      <c r="B81" s="200"/>
      <c r="C81" s="16" t="s">
        <v>45</v>
      </c>
      <c r="D81" s="16" t="s">
        <v>46</v>
      </c>
      <c r="E81" s="16" t="s">
        <v>47</v>
      </c>
      <c r="F81" s="16" t="s">
        <v>48</v>
      </c>
      <c r="G81" s="16" t="s">
        <v>5</v>
      </c>
    </row>
    <row r="82" spans="1:7" x14ac:dyDescent="0.2">
      <c r="B82" s="2" t="s">
        <v>6</v>
      </c>
      <c r="C82" s="1">
        <v>-9.5660000000000007</v>
      </c>
      <c r="D82" s="1" t="s">
        <v>741</v>
      </c>
      <c r="E82" s="1" t="s">
        <v>41</v>
      </c>
      <c r="F82" s="1" t="s">
        <v>12</v>
      </c>
      <c r="G82" s="1">
        <v>2.8199999999999999E-2</v>
      </c>
    </row>
    <row r="83" spans="1:7" x14ac:dyDescent="0.2">
      <c r="B83" s="2" t="s">
        <v>7</v>
      </c>
      <c r="C83" s="1">
        <v>-6.44</v>
      </c>
      <c r="D83" s="1" t="s">
        <v>742</v>
      </c>
      <c r="E83" s="1" t="s">
        <v>49</v>
      </c>
      <c r="F83" s="1" t="s">
        <v>9</v>
      </c>
      <c r="G83" s="1">
        <v>0.2208</v>
      </c>
    </row>
    <row r="84" spans="1:7" x14ac:dyDescent="0.2">
      <c r="B84" s="2" t="s">
        <v>8</v>
      </c>
      <c r="C84" s="1">
        <v>-7.2619999999999996</v>
      </c>
      <c r="D84" s="1" t="s">
        <v>743</v>
      </c>
      <c r="E84" s="1" t="s">
        <v>49</v>
      </c>
      <c r="F84" s="1" t="s">
        <v>9</v>
      </c>
      <c r="G84" s="1">
        <v>0.1467</v>
      </c>
    </row>
    <row r="88" spans="1:7" x14ac:dyDescent="0.2">
      <c r="A88" s="239" t="s">
        <v>734</v>
      </c>
      <c r="B88" s="15" t="s">
        <v>53</v>
      </c>
      <c r="C88" s="86"/>
    </row>
    <row r="89" spans="1:7" x14ac:dyDescent="0.2">
      <c r="B89" s="2" t="s">
        <v>0</v>
      </c>
      <c r="D89" s="46">
        <v>12.49</v>
      </c>
    </row>
    <row r="90" spans="1:7" x14ac:dyDescent="0.2">
      <c r="B90" s="2" t="s">
        <v>36</v>
      </c>
      <c r="D90" s="46" t="s">
        <v>176</v>
      </c>
    </row>
    <row r="91" spans="1:7" x14ac:dyDescent="0.2">
      <c r="B91" s="2" t="s">
        <v>37</v>
      </c>
      <c r="D91" s="46" t="s">
        <v>10</v>
      </c>
    </row>
    <row r="92" spans="1:7" x14ac:dyDescent="0.2">
      <c r="B92" s="2" t="s">
        <v>54</v>
      </c>
      <c r="D92" s="46" t="s">
        <v>41</v>
      </c>
    </row>
    <row r="93" spans="1:7" x14ac:dyDescent="0.2">
      <c r="B93" s="2" t="s">
        <v>55</v>
      </c>
      <c r="D93" s="46">
        <v>0.63</v>
      </c>
    </row>
    <row r="95" spans="1:7" x14ac:dyDescent="0.2">
      <c r="B95" s="3" t="s">
        <v>44</v>
      </c>
      <c r="D95" s="279"/>
      <c r="E95" s="279"/>
      <c r="F95" s="279"/>
      <c r="G95" s="279"/>
    </row>
    <row r="96" spans="1:7" x14ac:dyDescent="0.2">
      <c r="B96" s="279"/>
      <c r="C96" s="3" t="s">
        <v>45</v>
      </c>
      <c r="D96" s="3" t="s">
        <v>46</v>
      </c>
      <c r="E96" s="3" t="s">
        <v>47</v>
      </c>
      <c r="F96" s="3" t="s">
        <v>48</v>
      </c>
      <c r="G96" s="3" t="s">
        <v>5</v>
      </c>
    </row>
    <row r="97" spans="1:8" x14ac:dyDescent="0.2">
      <c r="B97" s="2" t="s">
        <v>6</v>
      </c>
      <c r="C97" s="1">
        <v>-11.68</v>
      </c>
      <c r="D97" s="1" t="s">
        <v>744</v>
      </c>
      <c r="E97" s="1" t="s">
        <v>41</v>
      </c>
      <c r="F97" s="1" t="s">
        <v>11</v>
      </c>
      <c r="G97" s="1">
        <v>5.7999999999999996E-3</v>
      </c>
    </row>
    <row r="98" spans="1:8" x14ac:dyDescent="0.2">
      <c r="B98" s="2" t="s">
        <v>7</v>
      </c>
      <c r="C98" s="1">
        <v>-15.39</v>
      </c>
      <c r="D98" s="1" t="s">
        <v>745</v>
      </c>
      <c r="E98" s="1" t="s">
        <v>41</v>
      </c>
      <c r="F98" s="1" t="s">
        <v>10</v>
      </c>
      <c r="G98" s="1">
        <v>8.0000000000000004E-4</v>
      </c>
    </row>
    <row r="99" spans="1:8" x14ac:dyDescent="0.2">
      <c r="B99" s="2" t="s">
        <v>8</v>
      </c>
      <c r="C99" s="1">
        <v>-19.11</v>
      </c>
      <c r="D99" s="1" t="s">
        <v>746</v>
      </c>
      <c r="E99" s="1" t="s">
        <v>41</v>
      </c>
      <c r="F99" s="1" t="s">
        <v>10</v>
      </c>
      <c r="G99" s="46" t="s">
        <v>176</v>
      </c>
    </row>
    <row r="102" spans="1:8" x14ac:dyDescent="0.2">
      <c r="B102" s="2"/>
      <c r="C102" s="1"/>
    </row>
    <row r="103" spans="1:8" x14ac:dyDescent="0.2">
      <c r="A103" s="236" t="s">
        <v>735</v>
      </c>
      <c r="B103" s="15" t="s">
        <v>53</v>
      </c>
      <c r="C103" s="1"/>
      <c r="D103" s="46"/>
    </row>
    <row r="104" spans="1:8" x14ac:dyDescent="0.2">
      <c r="B104" s="2" t="s">
        <v>0</v>
      </c>
      <c r="D104" s="46">
        <v>6.4569999999999999</v>
      </c>
    </row>
    <row r="105" spans="1:8" x14ac:dyDescent="0.2">
      <c r="B105" s="2" t="s">
        <v>36</v>
      </c>
      <c r="D105" s="46">
        <v>2.7000000000000001E-3</v>
      </c>
    </row>
    <row r="106" spans="1:8" x14ac:dyDescent="0.2">
      <c r="B106" s="2" t="s">
        <v>37</v>
      </c>
      <c r="D106" s="46" t="s">
        <v>11</v>
      </c>
    </row>
    <row r="107" spans="1:8" x14ac:dyDescent="0.2">
      <c r="B107" s="2" t="s">
        <v>54</v>
      </c>
      <c r="D107" s="46" t="s">
        <v>41</v>
      </c>
    </row>
    <row r="108" spans="1:8" x14ac:dyDescent="0.2">
      <c r="B108" s="2" t="s">
        <v>55</v>
      </c>
      <c r="D108" s="46">
        <v>0.46820000000000001</v>
      </c>
    </row>
    <row r="109" spans="1:8" x14ac:dyDescent="0.2">
      <c r="B109" s="3"/>
      <c r="C109" s="16"/>
      <c r="D109" s="200"/>
      <c r="E109" s="200"/>
      <c r="F109" s="200"/>
      <c r="G109" s="200"/>
    </row>
    <row r="110" spans="1:8" x14ac:dyDescent="0.2">
      <c r="B110" s="3" t="s">
        <v>44</v>
      </c>
      <c r="C110" s="279"/>
      <c r="D110" s="3"/>
      <c r="E110" s="3"/>
      <c r="F110" s="3"/>
      <c r="G110" s="3"/>
      <c r="H110" s="279"/>
    </row>
    <row r="111" spans="1:8" x14ac:dyDescent="0.2">
      <c r="B111" s="279"/>
      <c r="C111" s="3" t="s">
        <v>45</v>
      </c>
      <c r="D111" s="3" t="s">
        <v>46</v>
      </c>
      <c r="E111" s="3" t="s">
        <v>47</v>
      </c>
      <c r="F111" s="3" t="s">
        <v>48</v>
      </c>
      <c r="G111" s="3" t="s">
        <v>5</v>
      </c>
      <c r="H111" s="279"/>
    </row>
    <row r="112" spans="1:8" x14ac:dyDescent="0.2">
      <c r="B112" s="2" t="s">
        <v>6</v>
      </c>
      <c r="C112" s="1">
        <v>-12.51</v>
      </c>
      <c r="D112" s="1" t="s">
        <v>747</v>
      </c>
      <c r="E112" s="1" t="s">
        <v>41</v>
      </c>
      <c r="F112" s="1" t="s">
        <v>11</v>
      </c>
      <c r="G112" s="1">
        <v>1.1999999999999999E-3</v>
      </c>
    </row>
    <row r="113" spans="2:7" x14ac:dyDescent="0.2">
      <c r="B113" s="2" t="s">
        <v>7</v>
      </c>
      <c r="C113" s="1">
        <v>-4.4359999999999999</v>
      </c>
      <c r="D113" s="1" t="s">
        <v>748</v>
      </c>
      <c r="E113" s="1" t="s">
        <v>49</v>
      </c>
      <c r="F113" s="1" t="s">
        <v>9</v>
      </c>
      <c r="G113" s="1">
        <v>0.4098</v>
      </c>
    </row>
    <row r="114" spans="2:7" x14ac:dyDescent="0.2">
      <c r="B114" s="2" t="s">
        <v>8</v>
      </c>
      <c r="C114" s="1">
        <v>-8.7319999999999993</v>
      </c>
      <c r="D114" s="1" t="s">
        <v>749</v>
      </c>
      <c r="E114" s="1" t="s">
        <v>41</v>
      </c>
      <c r="F114" s="1" t="s">
        <v>12</v>
      </c>
      <c r="G114" s="1">
        <v>3.3099999999999997E-2</v>
      </c>
    </row>
  </sheetData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AK119"/>
  <sheetViews>
    <sheetView zoomScale="93" zoomScaleNormal="93" zoomScalePageLayoutView="93" workbookViewId="0">
      <selection activeCell="Q16" sqref="Q16"/>
    </sheetView>
  </sheetViews>
  <sheetFormatPr baseColWidth="10" defaultRowHeight="16" x14ac:dyDescent="0.2"/>
  <cols>
    <col min="1" max="1" width="15.1640625" customWidth="1"/>
    <col min="2" max="2" width="15.5" customWidth="1"/>
    <col min="10" max="10" width="10.83203125" customWidth="1"/>
    <col min="11" max="11" width="11.5" customWidth="1"/>
    <col min="12" max="12" width="12" customWidth="1"/>
    <col min="13" max="13" width="12.5" customWidth="1"/>
    <col min="17" max="17" width="14.6640625" customWidth="1"/>
    <col min="18" max="18" width="14.33203125" customWidth="1"/>
    <col min="24" max="24" width="14.6640625" customWidth="1"/>
    <col min="26" max="26" width="11.1640625" customWidth="1"/>
    <col min="27" max="27" width="11.6640625" customWidth="1"/>
    <col min="28" max="28" width="12" customWidth="1"/>
    <col min="29" max="29" width="11.33203125" customWidth="1"/>
  </cols>
  <sheetData>
    <row r="1" spans="1:37" x14ac:dyDescent="0.2">
      <c r="A1" s="9"/>
      <c r="B1" s="9"/>
      <c r="C1" s="9"/>
      <c r="D1" s="9"/>
      <c r="E1" s="9"/>
    </row>
    <row r="2" spans="1:37" ht="18" x14ac:dyDescent="0.2">
      <c r="A2" s="53" t="s">
        <v>766</v>
      </c>
      <c r="B2" s="14"/>
      <c r="C2" s="9"/>
      <c r="D2" s="9"/>
      <c r="E2" s="9"/>
    </row>
    <row r="3" spans="1:37" x14ac:dyDescent="0.2">
      <c r="A3" s="9"/>
      <c r="B3" s="9"/>
      <c r="C3" s="9"/>
      <c r="D3" s="9"/>
      <c r="E3" s="9"/>
    </row>
    <row r="4" spans="1:37" ht="18" x14ac:dyDescent="0.2">
      <c r="A4" s="14" t="s">
        <v>750</v>
      </c>
      <c r="B4" s="14"/>
      <c r="C4" s="14"/>
      <c r="D4" s="14"/>
      <c r="E4" s="14"/>
      <c r="F4" s="14"/>
    </row>
    <row r="5" spans="1:37" ht="19" x14ac:dyDescent="0.25">
      <c r="A5" s="219"/>
      <c r="B5" s="9"/>
      <c r="C5" s="9"/>
      <c r="D5" s="9"/>
      <c r="E5" s="9"/>
    </row>
    <row r="6" spans="1:37" ht="19" x14ac:dyDescent="0.25">
      <c r="C6" s="52" t="s">
        <v>658</v>
      </c>
      <c r="X6" s="219"/>
      <c r="Y6" s="52" t="s">
        <v>662</v>
      </c>
      <c r="Z6" s="9"/>
      <c r="AA6" s="9"/>
      <c r="AB6" s="9"/>
    </row>
    <row r="7" spans="1:37" x14ac:dyDescent="0.2">
      <c r="X7" s="9"/>
      <c r="Y7" s="9"/>
      <c r="Z7" s="9"/>
      <c r="AA7" s="9"/>
      <c r="AB7" s="9"/>
    </row>
    <row r="8" spans="1:37" x14ac:dyDescent="0.2">
      <c r="B8" s="9"/>
      <c r="C8" s="9" t="s">
        <v>179</v>
      </c>
      <c r="D8" s="9"/>
      <c r="E8" s="9"/>
      <c r="F8" s="9"/>
      <c r="J8" s="9" t="s">
        <v>180</v>
      </c>
      <c r="X8" s="9"/>
      <c r="Y8" s="9" t="s">
        <v>179</v>
      </c>
      <c r="Z8" s="9"/>
      <c r="AA8" s="9"/>
      <c r="AB8" s="9"/>
      <c r="AF8" s="9" t="s">
        <v>180</v>
      </c>
    </row>
    <row r="9" spans="1:37" x14ac:dyDescent="0.2">
      <c r="B9" s="9"/>
      <c r="D9" s="9"/>
      <c r="E9" s="9"/>
      <c r="F9" s="9"/>
      <c r="X9" s="9"/>
      <c r="Z9" s="9"/>
      <c r="AA9" s="9"/>
      <c r="AB9" s="9"/>
    </row>
    <row r="10" spans="1:37" x14ac:dyDescent="0.2">
      <c r="B10" s="9"/>
      <c r="C10" s="240" t="s">
        <v>1</v>
      </c>
      <c r="D10" s="240"/>
      <c r="E10" s="240"/>
      <c r="F10" s="240"/>
      <c r="G10" s="240"/>
      <c r="J10" s="240" t="s">
        <v>1</v>
      </c>
      <c r="K10" s="240"/>
      <c r="L10" s="240"/>
      <c r="M10" s="240"/>
      <c r="N10" s="240"/>
      <c r="O10" s="240"/>
      <c r="X10" s="9"/>
      <c r="Y10" s="240" t="s">
        <v>1</v>
      </c>
      <c r="Z10" s="240"/>
      <c r="AA10" s="240"/>
      <c r="AB10" s="240"/>
      <c r="AC10" s="240"/>
      <c r="AF10" s="240" t="s">
        <v>1</v>
      </c>
      <c r="AG10" s="240"/>
      <c r="AH10" s="240"/>
      <c r="AI10" s="240"/>
      <c r="AJ10" s="240"/>
      <c r="AK10" s="240"/>
    </row>
    <row r="11" spans="1:37" x14ac:dyDescent="0.2">
      <c r="B11" s="9"/>
      <c r="C11" s="59" t="s">
        <v>658</v>
      </c>
      <c r="D11" s="60" t="s">
        <v>330</v>
      </c>
      <c r="E11" s="60" t="s">
        <v>331</v>
      </c>
      <c r="F11" s="60" t="s">
        <v>751</v>
      </c>
      <c r="G11" s="60" t="s">
        <v>752</v>
      </c>
      <c r="J11" s="59" t="s">
        <v>658</v>
      </c>
      <c r="K11" s="60" t="s">
        <v>753</v>
      </c>
      <c r="L11" s="60" t="s">
        <v>754</v>
      </c>
      <c r="M11" s="60" t="s">
        <v>755</v>
      </c>
      <c r="N11" s="175" t="s">
        <v>756</v>
      </c>
      <c r="O11" s="60" t="s">
        <v>336</v>
      </c>
      <c r="X11" s="9"/>
      <c r="Y11" s="59" t="s">
        <v>718</v>
      </c>
      <c r="Z11" s="60" t="s">
        <v>330</v>
      </c>
      <c r="AA11" s="60" t="s">
        <v>331</v>
      </c>
      <c r="AB11" s="60" t="s">
        <v>751</v>
      </c>
      <c r="AC11" s="60" t="s">
        <v>752</v>
      </c>
      <c r="AF11" s="59" t="s">
        <v>718</v>
      </c>
      <c r="AG11" s="60" t="s">
        <v>753</v>
      </c>
      <c r="AH11" s="60" t="s">
        <v>754</v>
      </c>
      <c r="AI11" s="60" t="s">
        <v>755</v>
      </c>
      <c r="AJ11" s="175" t="s">
        <v>756</v>
      </c>
      <c r="AK11" s="60" t="s">
        <v>336</v>
      </c>
    </row>
    <row r="12" spans="1:37" x14ac:dyDescent="0.2">
      <c r="B12" s="9"/>
      <c r="C12" s="449" t="s">
        <v>32</v>
      </c>
      <c r="D12" s="55">
        <f t="shared" ref="D12:D17" si="0">K12/O12*100</f>
        <v>63.157894736842103</v>
      </c>
      <c r="E12" s="55">
        <f t="shared" ref="E12:E17" si="1">L12/O12*100</f>
        <v>24.561403508771928</v>
      </c>
      <c r="F12" s="55">
        <f t="shared" ref="F12:F17" si="2">M12/O12*100</f>
        <v>12.280701754385964</v>
      </c>
      <c r="G12" s="55">
        <f t="shared" ref="G12:G17" si="3">N12/O12*100</f>
        <v>0</v>
      </c>
      <c r="J12" s="449" t="s">
        <v>32</v>
      </c>
      <c r="K12" s="223">
        <v>36</v>
      </c>
      <c r="L12" s="223">
        <v>14</v>
      </c>
      <c r="M12" s="223">
        <v>7</v>
      </c>
      <c r="N12" s="223">
        <v>0</v>
      </c>
      <c r="O12" s="17">
        <f t="shared" ref="O12:O17" si="4">SUM(K12:N12)</f>
        <v>57</v>
      </c>
      <c r="X12" s="9"/>
      <c r="Y12" s="61" t="s">
        <v>32</v>
      </c>
      <c r="Z12" s="55">
        <f t="shared" ref="Z12:Z17" si="5">AG12/AK12*100</f>
        <v>40.909090909090914</v>
      </c>
      <c r="AA12" s="55">
        <f t="shared" ref="AA12:AA17" si="6">AH12/AK12*100</f>
        <v>43.18181818181818</v>
      </c>
      <c r="AB12" s="55">
        <f t="shared" ref="AB12:AB17" si="7">AI12/AK12*100</f>
        <v>15.909090909090908</v>
      </c>
      <c r="AC12" s="55">
        <f t="shared" ref="AC12:AC17" si="8">AJ12/AK12*100</f>
        <v>0</v>
      </c>
      <c r="AF12" s="61" t="s">
        <v>32</v>
      </c>
      <c r="AG12" s="223">
        <v>18</v>
      </c>
      <c r="AH12" s="223">
        <v>19</v>
      </c>
      <c r="AI12" s="223">
        <v>7</v>
      </c>
      <c r="AJ12" s="223">
        <v>0</v>
      </c>
      <c r="AK12" s="17">
        <f t="shared" ref="AK12:AK17" si="9">SUM(AG12:AJ12)</f>
        <v>44</v>
      </c>
    </row>
    <row r="13" spans="1:37" x14ac:dyDescent="0.2">
      <c r="B13" s="9"/>
      <c r="C13" s="449" t="s">
        <v>33</v>
      </c>
      <c r="D13" s="55">
        <f t="shared" si="0"/>
        <v>60.465116279069761</v>
      </c>
      <c r="E13" s="55">
        <f t="shared" si="1"/>
        <v>37.209302325581397</v>
      </c>
      <c r="F13" s="55">
        <f t="shared" si="2"/>
        <v>2.3255813953488373</v>
      </c>
      <c r="G13" s="55">
        <f t="shared" si="3"/>
        <v>0</v>
      </c>
      <c r="J13" s="449" t="s">
        <v>33</v>
      </c>
      <c r="K13" s="223">
        <v>26</v>
      </c>
      <c r="L13" s="223">
        <v>16</v>
      </c>
      <c r="M13" s="223">
        <v>1</v>
      </c>
      <c r="N13" s="223">
        <v>0</v>
      </c>
      <c r="O13" s="17">
        <f t="shared" si="4"/>
        <v>43</v>
      </c>
      <c r="X13" s="9"/>
      <c r="Y13" s="61" t="s">
        <v>33</v>
      </c>
      <c r="Z13" s="55">
        <f t="shared" si="5"/>
        <v>84.05797101449275</v>
      </c>
      <c r="AA13" s="55">
        <f t="shared" si="6"/>
        <v>10.144927536231885</v>
      </c>
      <c r="AB13" s="55">
        <f t="shared" si="7"/>
        <v>5.7971014492753623</v>
      </c>
      <c r="AC13" s="55">
        <f t="shared" si="8"/>
        <v>0</v>
      </c>
      <c r="AF13" s="61" t="s">
        <v>33</v>
      </c>
      <c r="AG13" s="223">
        <v>58</v>
      </c>
      <c r="AH13" s="223">
        <v>7</v>
      </c>
      <c r="AI13" s="223">
        <v>4</v>
      </c>
      <c r="AJ13" s="223">
        <v>0</v>
      </c>
      <c r="AK13" s="17">
        <f t="shared" si="9"/>
        <v>69</v>
      </c>
    </row>
    <row r="14" spans="1:37" x14ac:dyDescent="0.2">
      <c r="B14" s="9"/>
      <c r="C14" s="449" t="s">
        <v>34</v>
      </c>
      <c r="D14" s="55">
        <f t="shared" si="0"/>
        <v>70.833333333333343</v>
      </c>
      <c r="E14" s="55">
        <f t="shared" si="1"/>
        <v>29.166666666666668</v>
      </c>
      <c r="F14" s="55">
        <f t="shared" si="2"/>
        <v>0</v>
      </c>
      <c r="G14" s="55">
        <f t="shared" si="3"/>
        <v>0</v>
      </c>
      <c r="J14" s="449" t="s">
        <v>34</v>
      </c>
      <c r="K14" s="223">
        <v>34</v>
      </c>
      <c r="L14" s="223">
        <v>14</v>
      </c>
      <c r="M14" s="223">
        <v>0</v>
      </c>
      <c r="N14" s="223">
        <v>0</v>
      </c>
      <c r="O14" s="17">
        <f t="shared" si="4"/>
        <v>48</v>
      </c>
      <c r="X14" s="9"/>
      <c r="Y14" s="61" t="s">
        <v>34</v>
      </c>
      <c r="Z14" s="55">
        <f t="shared" si="5"/>
        <v>78.048780487804876</v>
      </c>
      <c r="AA14" s="55">
        <f t="shared" si="6"/>
        <v>12.195121951219512</v>
      </c>
      <c r="AB14" s="55">
        <f t="shared" si="7"/>
        <v>9.7560975609756095</v>
      </c>
      <c r="AC14" s="55">
        <f t="shared" si="8"/>
        <v>0</v>
      </c>
      <c r="AF14" s="61" t="s">
        <v>34</v>
      </c>
      <c r="AG14" s="223">
        <v>32</v>
      </c>
      <c r="AH14" s="223">
        <v>5</v>
      </c>
      <c r="AI14" s="223">
        <v>4</v>
      </c>
      <c r="AJ14" s="223">
        <v>0</v>
      </c>
      <c r="AK14" s="17">
        <f t="shared" si="9"/>
        <v>41</v>
      </c>
    </row>
    <row r="15" spans="1:37" x14ac:dyDescent="0.2">
      <c r="C15" s="449" t="s">
        <v>35</v>
      </c>
      <c r="D15" s="55">
        <f t="shared" si="0"/>
        <v>78.84615384615384</v>
      </c>
      <c r="E15" s="55">
        <f t="shared" si="1"/>
        <v>13.461538461538462</v>
      </c>
      <c r="F15" s="55">
        <f t="shared" si="2"/>
        <v>7.6923076923076925</v>
      </c>
      <c r="G15" s="55">
        <f t="shared" si="3"/>
        <v>0</v>
      </c>
      <c r="J15" s="449" t="s">
        <v>35</v>
      </c>
      <c r="K15" s="223">
        <v>41</v>
      </c>
      <c r="L15" s="223">
        <v>7</v>
      </c>
      <c r="M15" s="223">
        <v>4</v>
      </c>
      <c r="N15" s="223">
        <v>0</v>
      </c>
      <c r="O15" s="17">
        <f t="shared" si="4"/>
        <v>52</v>
      </c>
      <c r="Y15" s="61" t="s">
        <v>35</v>
      </c>
      <c r="Z15" s="55">
        <f t="shared" si="5"/>
        <v>71.929824561403507</v>
      </c>
      <c r="AA15" s="55">
        <f t="shared" si="6"/>
        <v>21.052631578947366</v>
      </c>
      <c r="AB15" s="55">
        <f t="shared" si="7"/>
        <v>7.0175438596491224</v>
      </c>
      <c r="AC15" s="55">
        <f t="shared" si="8"/>
        <v>0</v>
      </c>
      <c r="AF15" s="61" t="s">
        <v>35</v>
      </c>
      <c r="AG15" s="223">
        <v>41</v>
      </c>
      <c r="AH15" s="223">
        <v>12</v>
      </c>
      <c r="AI15" s="223">
        <v>4</v>
      </c>
      <c r="AJ15" s="223">
        <v>0</v>
      </c>
      <c r="AK15" s="17">
        <f t="shared" si="9"/>
        <v>57</v>
      </c>
    </row>
    <row r="16" spans="1:37" x14ac:dyDescent="0.2">
      <c r="C16" s="449" t="s">
        <v>81</v>
      </c>
      <c r="D16" s="55">
        <f t="shared" si="0"/>
        <v>74.666666666666671</v>
      </c>
      <c r="E16" s="55">
        <f t="shared" si="1"/>
        <v>22.666666666666664</v>
      </c>
      <c r="F16" s="55">
        <f t="shared" si="2"/>
        <v>2.666666666666667</v>
      </c>
      <c r="G16" s="55">
        <f t="shared" si="3"/>
        <v>0</v>
      </c>
      <c r="J16" s="449" t="s">
        <v>81</v>
      </c>
      <c r="K16" s="223">
        <v>56</v>
      </c>
      <c r="L16" s="223">
        <v>17</v>
      </c>
      <c r="M16" s="223">
        <v>2</v>
      </c>
      <c r="N16" s="223">
        <v>0</v>
      </c>
      <c r="O16" s="17">
        <f t="shared" si="4"/>
        <v>75</v>
      </c>
      <c r="Y16" s="61" t="s">
        <v>81</v>
      </c>
      <c r="Z16" s="55">
        <f t="shared" si="5"/>
        <v>73.846153846153854</v>
      </c>
      <c r="AA16" s="55">
        <f t="shared" si="6"/>
        <v>23.076923076923077</v>
      </c>
      <c r="AB16" s="55">
        <f t="shared" si="7"/>
        <v>3.0769230769230771</v>
      </c>
      <c r="AC16" s="55">
        <f t="shared" si="8"/>
        <v>0</v>
      </c>
      <c r="AF16" s="61" t="s">
        <v>81</v>
      </c>
      <c r="AG16" s="223">
        <v>48</v>
      </c>
      <c r="AH16" s="223">
        <v>15</v>
      </c>
      <c r="AI16" s="223">
        <v>2</v>
      </c>
      <c r="AJ16" s="223">
        <v>0</v>
      </c>
      <c r="AK16" s="17">
        <f t="shared" si="9"/>
        <v>65</v>
      </c>
    </row>
    <row r="17" spans="3:37" x14ac:dyDescent="0.2">
      <c r="C17" s="449" t="s">
        <v>169</v>
      </c>
      <c r="D17" s="55">
        <f t="shared" si="0"/>
        <v>66.153846153846146</v>
      </c>
      <c r="E17" s="55">
        <f t="shared" si="1"/>
        <v>30.76923076923077</v>
      </c>
      <c r="F17" s="55">
        <f t="shared" si="2"/>
        <v>3.0769230769230771</v>
      </c>
      <c r="G17" s="55">
        <f t="shared" si="3"/>
        <v>0</v>
      </c>
      <c r="J17" s="449" t="s">
        <v>169</v>
      </c>
      <c r="K17" s="223">
        <v>43</v>
      </c>
      <c r="L17" s="223">
        <v>20</v>
      </c>
      <c r="M17" s="223">
        <v>2</v>
      </c>
      <c r="N17" s="223">
        <v>0</v>
      </c>
      <c r="O17" s="17">
        <f t="shared" si="4"/>
        <v>65</v>
      </c>
      <c r="Y17" s="61" t="s">
        <v>169</v>
      </c>
      <c r="Z17" s="55">
        <f t="shared" si="5"/>
        <v>69.230769230769226</v>
      </c>
      <c r="AA17" s="55">
        <f t="shared" si="6"/>
        <v>23.076923076923077</v>
      </c>
      <c r="AB17" s="55">
        <f t="shared" si="7"/>
        <v>7.6923076923076925</v>
      </c>
      <c r="AC17" s="55">
        <f t="shared" si="8"/>
        <v>0</v>
      </c>
      <c r="AF17" s="61" t="s">
        <v>169</v>
      </c>
      <c r="AG17" s="223">
        <v>45</v>
      </c>
      <c r="AH17" s="223">
        <v>15</v>
      </c>
      <c r="AI17" s="223">
        <v>5</v>
      </c>
      <c r="AJ17" s="223">
        <v>0</v>
      </c>
      <c r="AK17" s="17">
        <f t="shared" si="9"/>
        <v>65</v>
      </c>
    </row>
    <row r="20" spans="3:37" x14ac:dyDescent="0.2">
      <c r="C20" s="240" t="s">
        <v>2</v>
      </c>
      <c r="D20" s="240"/>
      <c r="E20" s="240"/>
      <c r="F20" s="240"/>
      <c r="G20" s="240"/>
      <c r="J20" s="240" t="s">
        <v>2</v>
      </c>
      <c r="K20" s="240"/>
      <c r="L20" s="240"/>
      <c r="M20" s="240"/>
      <c r="N20" s="240"/>
      <c r="O20" s="240"/>
      <c r="Y20" s="240" t="s">
        <v>2</v>
      </c>
      <c r="Z20" s="240"/>
      <c r="AA20" s="240"/>
      <c r="AB20" s="240"/>
      <c r="AC20" s="240"/>
      <c r="AF20" s="240" t="s">
        <v>2</v>
      </c>
      <c r="AG20" s="240"/>
      <c r="AH20" s="240"/>
      <c r="AI20" s="240"/>
      <c r="AJ20" s="240"/>
      <c r="AK20" s="240"/>
    </row>
    <row r="21" spans="3:37" x14ac:dyDescent="0.2">
      <c r="C21" s="59" t="s">
        <v>658</v>
      </c>
      <c r="D21" s="60" t="s">
        <v>330</v>
      </c>
      <c r="E21" s="60" t="s">
        <v>331</v>
      </c>
      <c r="F21" s="60" t="s">
        <v>751</v>
      </c>
      <c r="G21" s="60" t="s">
        <v>752</v>
      </c>
      <c r="J21" s="59" t="s">
        <v>658</v>
      </c>
      <c r="K21" s="60" t="s">
        <v>753</v>
      </c>
      <c r="L21" s="60" t="s">
        <v>754</v>
      </c>
      <c r="M21" s="60" t="s">
        <v>755</v>
      </c>
      <c r="N21" s="175" t="s">
        <v>756</v>
      </c>
      <c r="O21" s="60" t="s">
        <v>336</v>
      </c>
      <c r="Y21" s="59" t="s">
        <v>718</v>
      </c>
      <c r="Z21" s="60" t="s">
        <v>330</v>
      </c>
      <c r="AA21" s="60" t="s">
        <v>331</v>
      </c>
      <c r="AB21" s="60" t="s">
        <v>751</v>
      </c>
      <c r="AC21" s="60" t="s">
        <v>752</v>
      </c>
      <c r="AF21" s="59" t="s">
        <v>718</v>
      </c>
      <c r="AG21" s="60" t="s">
        <v>753</v>
      </c>
      <c r="AH21" s="60" t="s">
        <v>754</v>
      </c>
      <c r="AI21" s="60" t="s">
        <v>755</v>
      </c>
      <c r="AJ21" s="175" t="s">
        <v>756</v>
      </c>
      <c r="AK21" s="60" t="s">
        <v>336</v>
      </c>
    </row>
    <row r="22" spans="3:37" x14ac:dyDescent="0.2">
      <c r="C22" s="449" t="s">
        <v>32</v>
      </c>
      <c r="D22" s="55">
        <f>K22/O22*100</f>
        <v>17.567567567567568</v>
      </c>
      <c r="E22" s="55">
        <f>L22/O22*100</f>
        <v>24.324324324324326</v>
      </c>
      <c r="F22" s="55">
        <f>M22/O22*100</f>
        <v>27.027027027027028</v>
      </c>
      <c r="G22" s="55">
        <f>N22/O22*100</f>
        <v>31.081081081081081</v>
      </c>
      <c r="J22" s="449" t="s">
        <v>32</v>
      </c>
      <c r="K22" s="223">
        <v>13</v>
      </c>
      <c r="L22" s="223">
        <v>18</v>
      </c>
      <c r="M22" s="223">
        <v>20</v>
      </c>
      <c r="N22" s="223">
        <v>23</v>
      </c>
      <c r="O22" s="17">
        <f>SUM(K22:N22)</f>
        <v>74</v>
      </c>
      <c r="Y22" s="61" t="s">
        <v>32</v>
      </c>
      <c r="Z22" s="55">
        <f>AG22/AK22*100</f>
        <v>17.647058823529413</v>
      </c>
      <c r="AA22" s="55">
        <f>AH22/AK22*100</f>
        <v>20.588235294117645</v>
      </c>
      <c r="AB22" s="55">
        <f>AI22/AK22*100</f>
        <v>26.47058823529412</v>
      </c>
      <c r="AC22" s="55">
        <f>AJ22/AK22*100</f>
        <v>35.294117647058826</v>
      </c>
      <c r="AF22" s="61" t="s">
        <v>32</v>
      </c>
      <c r="AG22" s="223">
        <v>12</v>
      </c>
      <c r="AH22" s="223">
        <v>14</v>
      </c>
      <c r="AI22" s="223">
        <v>18</v>
      </c>
      <c r="AJ22" s="223">
        <v>24</v>
      </c>
      <c r="AK22" s="17">
        <f>SUM(AG22:AJ22)</f>
        <v>68</v>
      </c>
    </row>
    <row r="23" spans="3:37" x14ac:dyDescent="0.2">
      <c r="C23" s="449" t="s">
        <v>33</v>
      </c>
      <c r="D23" s="55">
        <f>K23/O23*100</f>
        <v>30.508474576271187</v>
      </c>
      <c r="E23" s="55">
        <f>L23/O23*100</f>
        <v>18.64406779661017</v>
      </c>
      <c r="F23" s="55">
        <f>M23/O23*100</f>
        <v>25.423728813559322</v>
      </c>
      <c r="G23" s="55">
        <f>N23/O23*100</f>
        <v>25.423728813559322</v>
      </c>
      <c r="J23" s="449" t="s">
        <v>33</v>
      </c>
      <c r="K23" s="223">
        <v>18</v>
      </c>
      <c r="L23" s="223">
        <v>11</v>
      </c>
      <c r="M23" s="223">
        <v>15</v>
      </c>
      <c r="N23" s="223">
        <v>15</v>
      </c>
      <c r="O23" s="17">
        <f>SUM(K23:N23)</f>
        <v>59</v>
      </c>
      <c r="Y23" s="61" t="s">
        <v>33</v>
      </c>
      <c r="Z23" s="55">
        <f>AG23/AK23*100</f>
        <v>9.2105263157894726</v>
      </c>
      <c r="AA23" s="55">
        <f>AH23/AK23*100</f>
        <v>22.368421052631579</v>
      </c>
      <c r="AB23" s="55">
        <f>AI23/AK23*100</f>
        <v>31.578947368421051</v>
      </c>
      <c r="AC23" s="55">
        <f>AJ23/AK23*100</f>
        <v>36.84210526315789</v>
      </c>
      <c r="AF23" s="61" t="s">
        <v>33</v>
      </c>
      <c r="AG23" s="223">
        <v>7</v>
      </c>
      <c r="AH23" s="223">
        <v>17</v>
      </c>
      <c r="AI23" s="223">
        <v>24</v>
      </c>
      <c r="AJ23" s="223">
        <v>28</v>
      </c>
      <c r="AK23" s="17">
        <f>SUM(AG23:AJ23)</f>
        <v>76</v>
      </c>
    </row>
    <row r="24" spans="3:37" x14ac:dyDescent="0.2">
      <c r="C24" s="449" t="s">
        <v>34</v>
      </c>
      <c r="D24" s="55">
        <f>K24/O24*100</f>
        <v>50.793650793650791</v>
      </c>
      <c r="E24" s="55">
        <f>L24/O24*100</f>
        <v>12.698412698412698</v>
      </c>
      <c r="F24" s="55">
        <f>M24/O24*100</f>
        <v>15.873015873015872</v>
      </c>
      <c r="G24" s="55">
        <f>N24/O24*100</f>
        <v>20.634920634920633</v>
      </c>
      <c r="J24" s="449" t="s">
        <v>34</v>
      </c>
      <c r="K24" s="241">
        <v>32</v>
      </c>
      <c r="L24" s="241">
        <v>8</v>
      </c>
      <c r="M24" s="199">
        <v>10</v>
      </c>
      <c r="N24" s="241">
        <v>13</v>
      </c>
      <c r="O24" s="17">
        <f>SUM(K24:N24)</f>
        <v>63</v>
      </c>
      <c r="Y24" s="61" t="s">
        <v>34</v>
      </c>
      <c r="Z24" s="55">
        <f>AG24/AK24*100</f>
        <v>29.411764705882355</v>
      </c>
      <c r="AA24" s="55">
        <f>AH24/AK24*100</f>
        <v>25</v>
      </c>
      <c r="AB24" s="55">
        <f>AI24/AK24*100</f>
        <v>20.588235294117645</v>
      </c>
      <c r="AC24" s="55">
        <f>AJ24/AK24*100</f>
        <v>25</v>
      </c>
      <c r="AF24" s="61" t="s">
        <v>34</v>
      </c>
      <c r="AG24" s="223">
        <v>20</v>
      </c>
      <c r="AH24" s="223">
        <v>17</v>
      </c>
      <c r="AI24" s="223">
        <v>14</v>
      </c>
      <c r="AJ24" s="223">
        <v>17</v>
      </c>
      <c r="AK24" s="17">
        <f>SUM(AG24:AJ24)</f>
        <v>68</v>
      </c>
    </row>
    <row r="25" spans="3:37" x14ac:dyDescent="0.2">
      <c r="AF25" s="9"/>
      <c r="AG25" s="9"/>
      <c r="AH25" s="9"/>
      <c r="AI25" s="9"/>
      <c r="AJ25" s="9"/>
      <c r="AK25" s="9"/>
    </row>
    <row r="26" spans="3:37" x14ac:dyDescent="0.2">
      <c r="AF26" s="9"/>
      <c r="AG26" s="9"/>
      <c r="AH26" s="9"/>
      <c r="AI26" s="9"/>
      <c r="AJ26" s="9"/>
      <c r="AK26" s="9"/>
    </row>
    <row r="27" spans="3:37" x14ac:dyDescent="0.2">
      <c r="C27" s="240" t="s">
        <v>3</v>
      </c>
      <c r="D27" s="240"/>
      <c r="E27" s="240"/>
      <c r="F27" s="240"/>
      <c r="G27" s="240"/>
      <c r="J27" s="240" t="s">
        <v>3</v>
      </c>
      <c r="K27" s="240"/>
      <c r="L27" s="240"/>
      <c r="M27" s="240"/>
      <c r="N27" s="240"/>
      <c r="O27" s="240"/>
      <c r="Y27" s="240" t="s">
        <v>3</v>
      </c>
      <c r="Z27" s="240"/>
      <c r="AA27" s="240"/>
      <c r="AB27" s="240"/>
      <c r="AC27" s="240"/>
      <c r="AF27" s="240" t="s">
        <v>3</v>
      </c>
      <c r="AG27" s="240"/>
      <c r="AH27" s="240"/>
      <c r="AI27" s="240"/>
      <c r="AJ27" s="240"/>
      <c r="AK27" s="240"/>
    </row>
    <row r="28" spans="3:37" x14ac:dyDescent="0.2">
      <c r="C28" s="59" t="s">
        <v>658</v>
      </c>
      <c r="D28" s="60" t="s">
        <v>330</v>
      </c>
      <c r="E28" s="60" t="s">
        <v>331</v>
      </c>
      <c r="F28" s="60" t="s">
        <v>751</v>
      </c>
      <c r="G28" s="60" t="s">
        <v>752</v>
      </c>
      <c r="J28" s="59" t="s">
        <v>658</v>
      </c>
      <c r="K28" s="60" t="s">
        <v>753</v>
      </c>
      <c r="L28" s="60" t="s">
        <v>754</v>
      </c>
      <c r="M28" s="60" t="s">
        <v>755</v>
      </c>
      <c r="N28" s="175" t="s">
        <v>756</v>
      </c>
      <c r="O28" s="60" t="s">
        <v>336</v>
      </c>
      <c r="Y28" s="59" t="s">
        <v>718</v>
      </c>
      <c r="Z28" s="60" t="s">
        <v>330</v>
      </c>
      <c r="AA28" s="60" t="s">
        <v>331</v>
      </c>
      <c r="AB28" s="60" t="s">
        <v>751</v>
      </c>
      <c r="AC28" s="60" t="s">
        <v>752</v>
      </c>
      <c r="AF28" s="59" t="s">
        <v>718</v>
      </c>
      <c r="AG28" s="60" t="s">
        <v>753</v>
      </c>
      <c r="AH28" s="60" t="s">
        <v>754</v>
      </c>
      <c r="AI28" s="60" t="s">
        <v>755</v>
      </c>
      <c r="AJ28" s="175" t="s">
        <v>756</v>
      </c>
      <c r="AK28" s="60" t="s">
        <v>336</v>
      </c>
    </row>
    <row r="29" spans="3:37" x14ac:dyDescent="0.2">
      <c r="C29" s="449" t="s">
        <v>32</v>
      </c>
      <c r="D29" s="55">
        <f>K29/O29*100</f>
        <v>44.927536231884055</v>
      </c>
      <c r="E29" s="55">
        <f>L29/O29*100</f>
        <v>13.043478260869565</v>
      </c>
      <c r="F29" s="55">
        <f>M29/O29*100</f>
        <v>18.840579710144929</v>
      </c>
      <c r="G29" s="55">
        <f>N29/O29*100</f>
        <v>23.188405797101449</v>
      </c>
      <c r="J29" s="449" t="s">
        <v>32</v>
      </c>
      <c r="K29" s="223">
        <v>31</v>
      </c>
      <c r="L29" s="223">
        <v>9</v>
      </c>
      <c r="M29" s="223">
        <v>13</v>
      </c>
      <c r="N29" s="223">
        <v>16</v>
      </c>
      <c r="O29" s="17">
        <f>SUM(K29:N29)</f>
        <v>69</v>
      </c>
      <c r="Y29" s="61" t="s">
        <v>32</v>
      </c>
      <c r="Z29" s="55">
        <f>AG29/AK29*100</f>
        <v>14.285714285714285</v>
      </c>
      <c r="AA29" s="55">
        <f>AH29/AK29*100</f>
        <v>32.142857142857146</v>
      </c>
      <c r="AB29" s="55">
        <f>AI29/AK29*100</f>
        <v>28.571428571428569</v>
      </c>
      <c r="AC29" s="55">
        <f>AJ29/AK29*100</f>
        <v>25</v>
      </c>
      <c r="AF29" s="61" t="s">
        <v>32</v>
      </c>
      <c r="AG29" s="223">
        <v>8</v>
      </c>
      <c r="AH29" s="223">
        <v>18</v>
      </c>
      <c r="AI29" s="223">
        <v>16</v>
      </c>
      <c r="AJ29" s="223">
        <v>14</v>
      </c>
      <c r="AK29" s="17">
        <f>SUM(AG29:AJ29)</f>
        <v>56</v>
      </c>
    </row>
    <row r="30" spans="3:37" x14ac:dyDescent="0.2">
      <c r="C30" s="449" t="s">
        <v>33</v>
      </c>
      <c r="D30" s="55">
        <f>K30/O30*100</f>
        <v>32.835820895522389</v>
      </c>
      <c r="E30" s="55">
        <f>L30/O30*100</f>
        <v>17.910447761194028</v>
      </c>
      <c r="F30" s="55">
        <f>M30/O30*100</f>
        <v>25.373134328358208</v>
      </c>
      <c r="G30" s="55">
        <f>N30/O30*100</f>
        <v>23.880597014925371</v>
      </c>
      <c r="J30" s="449" t="s">
        <v>33</v>
      </c>
      <c r="K30" s="223">
        <v>22</v>
      </c>
      <c r="L30" s="223">
        <v>12</v>
      </c>
      <c r="M30" s="223">
        <v>17</v>
      </c>
      <c r="N30" s="223">
        <v>16</v>
      </c>
      <c r="O30" s="17">
        <f>SUM(K30:N30)</f>
        <v>67</v>
      </c>
      <c r="Y30" s="61" t="s">
        <v>33</v>
      </c>
      <c r="Z30" s="55">
        <f>AG30/AK30*100</f>
        <v>20</v>
      </c>
      <c r="AA30" s="55">
        <f>AH30/AK30*100</f>
        <v>13.846153846153847</v>
      </c>
      <c r="AB30" s="55">
        <f>AI30/AK30*100</f>
        <v>30.76923076923077</v>
      </c>
      <c r="AC30" s="55">
        <f>AJ30/AK30*100</f>
        <v>35.384615384615387</v>
      </c>
      <c r="AF30" s="61" t="s">
        <v>33</v>
      </c>
      <c r="AG30" s="223">
        <v>13</v>
      </c>
      <c r="AH30" s="223">
        <v>9</v>
      </c>
      <c r="AI30" s="223">
        <v>20</v>
      </c>
      <c r="AJ30" s="223">
        <v>23</v>
      </c>
      <c r="AK30" s="17">
        <f>SUM(AG30:AJ30)</f>
        <v>65</v>
      </c>
    </row>
    <row r="31" spans="3:37" x14ac:dyDescent="0.2">
      <c r="C31" s="449" t="s">
        <v>34</v>
      </c>
      <c r="D31" s="55">
        <f>K31/O31*100</f>
        <v>17.391304347826086</v>
      </c>
      <c r="E31" s="55">
        <f>L31/O31*100</f>
        <v>21.739130434782609</v>
      </c>
      <c r="F31" s="55">
        <f>M31/O31*100</f>
        <v>26.086956521739129</v>
      </c>
      <c r="G31" s="55">
        <f>N31/O31*100</f>
        <v>34.782608695652172</v>
      </c>
      <c r="J31" s="449" t="s">
        <v>34</v>
      </c>
      <c r="K31" s="241">
        <v>8</v>
      </c>
      <c r="L31" s="241">
        <v>10</v>
      </c>
      <c r="M31" s="199">
        <v>12</v>
      </c>
      <c r="N31" s="241">
        <v>16</v>
      </c>
      <c r="O31" s="17">
        <f>SUM(K31:N31)</f>
        <v>46</v>
      </c>
      <c r="Y31" s="61" t="s">
        <v>34</v>
      </c>
      <c r="Z31" s="55">
        <f>AG31/AK31*100</f>
        <v>30.188679245283019</v>
      </c>
      <c r="AA31" s="55">
        <f>AH31/AK31*100</f>
        <v>24.528301886792452</v>
      </c>
      <c r="AB31" s="55">
        <f>AI31/AK31*100</f>
        <v>16.981132075471699</v>
      </c>
      <c r="AC31" s="55">
        <f>AJ31/AK31*100</f>
        <v>28.30188679245283</v>
      </c>
      <c r="AF31" s="61" t="s">
        <v>34</v>
      </c>
      <c r="AG31" s="241">
        <v>16</v>
      </c>
      <c r="AH31" s="241">
        <v>13</v>
      </c>
      <c r="AI31" s="199">
        <v>9</v>
      </c>
      <c r="AJ31" s="241">
        <v>15</v>
      </c>
      <c r="AK31" s="17">
        <f>SUM(AG31:AJ31)</f>
        <v>53</v>
      </c>
    </row>
    <row r="32" spans="3:37" x14ac:dyDescent="0.2">
      <c r="AF32" s="9"/>
      <c r="AG32" s="9"/>
      <c r="AH32" s="9"/>
      <c r="AI32" s="9"/>
      <c r="AJ32" s="9"/>
      <c r="AK32" s="9"/>
    </row>
    <row r="33" spans="2:37" x14ac:dyDescent="0.2">
      <c r="AF33" s="9"/>
      <c r="AG33" s="9"/>
      <c r="AH33" s="9"/>
      <c r="AI33" s="9"/>
      <c r="AJ33" s="9"/>
      <c r="AK33" s="9"/>
    </row>
    <row r="34" spans="2:37" x14ac:dyDescent="0.2">
      <c r="C34" s="240" t="s">
        <v>4</v>
      </c>
      <c r="D34" s="240"/>
      <c r="E34" s="240"/>
      <c r="F34" s="240"/>
      <c r="G34" s="240"/>
      <c r="J34" s="240" t="s">
        <v>4</v>
      </c>
      <c r="K34" s="240"/>
      <c r="L34" s="240"/>
      <c r="M34" s="240"/>
      <c r="N34" s="240"/>
      <c r="O34" s="240"/>
      <c r="Y34" s="240" t="s">
        <v>4</v>
      </c>
      <c r="Z34" s="240"/>
      <c r="AA34" s="240"/>
      <c r="AB34" s="240"/>
      <c r="AC34" s="240"/>
      <c r="AF34" s="240" t="s">
        <v>4</v>
      </c>
      <c r="AG34" s="240"/>
      <c r="AH34" s="240"/>
      <c r="AI34" s="240"/>
      <c r="AJ34" s="240"/>
      <c r="AK34" s="240"/>
    </row>
    <row r="35" spans="2:37" x14ac:dyDescent="0.2">
      <c r="C35" s="59" t="s">
        <v>658</v>
      </c>
      <c r="D35" s="60" t="s">
        <v>330</v>
      </c>
      <c r="E35" s="60" t="s">
        <v>331</v>
      </c>
      <c r="F35" s="60" t="s">
        <v>751</v>
      </c>
      <c r="G35" s="60" t="s">
        <v>752</v>
      </c>
      <c r="J35" s="59" t="s">
        <v>658</v>
      </c>
      <c r="K35" s="60" t="s">
        <v>753</v>
      </c>
      <c r="L35" s="60" t="s">
        <v>754</v>
      </c>
      <c r="M35" s="60" t="s">
        <v>755</v>
      </c>
      <c r="N35" s="175" t="s">
        <v>756</v>
      </c>
      <c r="O35" s="60" t="s">
        <v>336</v>
      </c>
      <c r="Y35" s="59" t="s">
        <v>718</v>
      </c>
      <c r="Z35" s="60" t="s">
        <v>330</v>
      </c>
      <c r="AA35" s="60" t="s">
        <v>331</v>
      </c>
      <c r="AB35" s="60" t="s">
        <v>751</v>
      </c>
      <c r="AC35" s="60" t="s">
        <v>752</v>
      </c>
      <c r="AF35" s="59" t="s">
        <v>718</v>
      </c>
      <c r="AG35" s="60" t="s">
        <v>753</v>
      </c>
      <c r="AH35" s="60" t="s">
        <v>754</v>
      </c>
      <c r="AI35" s="60" t="s">
        <v>755</v>
      </c>
      <c r="AJ35" s="175" t="s">
        <v>756</v>
      </c>
      <c r="AK35" s="60" t="s">
        <v>336</v>
      </c>
    </row>
    <row r="36" spans="2:37" x14ac:dyDescent="0.2">
      <c r="C36" s="449" t="s">
        <v>32</v>
      </c>
      <c r="D36" s="55">
        <f>K36/O36*100</f>
        <v>38.636363636363633</v>
      </c>
      <c r="E36" s="55">
        <f>L36/O36*100</f>
        <v>23.863636363636363</v>
      </c>
      <c r="F36" s="55">
        <f>M36/O36*100</f>
        <v>18.181818181818183</v>
      </c>
      <c r="G36" s="55">
        <f>N36/O36*100</f>
        <v>19.318181818181817</v>
      </c>
      <c r="J36" s="449" t="s">
        <v>32</v>
      </c>
      <c r="K36" s="223">
        <v>34</v>
      </c>
      <c r="L36" s="223">
        <v>21</v>
      </c>
      <c r="M36" s="223">
        <v>16</v>
      </c>
      <c r="N36" s="223">
        <v>17</v>
      </c>
      <c r="O36" s="17">
        <f>SUM(K36:N36)</f>
        <v>88</v>
      </c>
      <c r="Y36" s="61" t="s">
        <v>32</v>
      </c>
      <c r="Z36" s="55">
        <f>AG36/AK36*100</f>
        <v>24.489795918367346</v>
      </c>
      <c r="AA36" s="55">
        <f>AH36/AK36*100</f>
        <v>14.285714285714285</v>
      </c>
      <c r="AB36" s="55">
        <f>AI36/AK36*100</f>
        <v>26.530612244897959</v>
      </c>
      <c r="AC36" s="55">
        <f>AJ36/AK36*100</f>
        <v>34.693877551020407</v>
      </c>
      <c r="AF36" s="61" t="s">
        <v>32</v>
      </c>
      <c r="AG36" s="241">
        <v>12</v>
      </c>
      <c r="AH36" s="241">
        <v>7</v>
      </c>
      <c r="AI36" s="199">
        <v>13</v>
      </c>
      <c r="AJ36" s="241">
        <v>17</v>
      </c>
      <c r="AK36" s="17">
        <f>SUM(AG36:AJ36)</f>
        <v>49</v>
      </c>
    </row>
    <row r="37" spans="2:37" x14ac:dyDescent="0.2">
      <c r="C37" s="449" t="s">
        <v>33</v>
      </c>
      <c r="D37" s="55">
        <f>K37/O37*100</f>
        <v>34.285714285714285</v>
      </c>
      <c r="E37" s="55">
        <f>L37/O37*100</f>
        <v>10</v>
      </c>
      <c r="F37" s="55">
        <f>M37/O37*100</f>
        <v>25.714285714285712</v>
      </c>
      <c r="G37" s="55">
        <f>N37/O37*100</f>
        <v>30</v>
      </c>
      <c r="J37" s="449" t="s">
        <v>33</v>
      </c>
      <c r="K37" s="223">
        <v>24</v>
      </c>
      <c r="L37" s="223">
        <v>7</v>
      </c>
      <c r="M37" s="223">
        <v>18</v>
      </c>
      <c r="N37" s="223">
        <v>21</v>
      </c>
      <c r="O37" s="17">
        <f>SUM(K37:N37)</f>
        <v>70</v>
      </c>
      <c r="Y37" s="61" t="s">
        <v>33</v>
      </c>
      <c r="Z37" s="55">
        <f>AG37/AK37*100</f>
        <v>20</v>
      </c>
      <c r="AA37" s="55">
        <f>AH37/AK37*100</f>
        <v>21.818181818181817</v>
      </c>
      <c r="AB37" s="55">
        <f>AI37/AK37*100</f>
        <v>30.909090909090907</v>
      </c>
      <c r="AC37" s="55">
        <f>AJ37/AK37*100</f>
        <v>27.27272727272727</v>
      </c>
      <c r="AF37" s="61" t="s">
        <v>33</v>
      </c>
      <c r="AG37" s="241">
        <v>11</v>
      </c>
      <c r="AH37" s="241">
        <v>12</v>
      </c>
      <c r="AI37" s="199">
        <v>17</v>
      </c>
      <c r="AJ37" s="241">
        <v>15</v>
      </c>
      <c r="AK37" s="17">
        <f>SUM(AG37:AJ37)</f>
        <v>55</v>
      </c>
    </row>
    <row r="38" spans="2:37" x14ac:dyDescent="0.2">
      <c r="C38" s="449" t="s">
        <v>34</v>
      </c>
      <c r="D38" s="55">
        <f>K38/O38*100</f>
        <v>45.833333333333329</v>
      </c>
      <c r="E38" s="55">
        <f>L38/O38*100</f>
        <v>19.444444444444446</v>
      </c>
      <c r="F38" s="55">
        <f>M38/O38*100</f>
        <v>11.111111111111111</v>
      </c>
      <c r="G38" s="55">
        <f>N38/O38*100</f>
        <v>23.611111111111111</v>
      </c>
      <c r="J38" s="449" t="s">
        <v>34</v>
      </c>
      <c r="K38" s="241">
        <v>33</v>
      </c>
      <c r="L38" s="241">
        <v>14</v>
      </c>
      <c r="M38" s="199">
        <v>8</v>
      </c>
      <c r="N38" s="241">
        <v>17</v>
      </c>
      <c r="O38" s="17">
        <f>SUM(K38:N38)</f>
        <v>72</v>
      </c>
      <c r="Y38" s="61" t="s">
        <v>34</v>
      </c>
      <c r="Z38" s="55">
        <f>AG38/AK38*100</f>
        <v>13.953488372093023</v>
      </c>
      <c r="AA38" s="55">
        <f>AH38/AK38*100</f>
        <v>27.906976744186046</v>
      </c>
      <c r="AB38" s="55">
        <f>AI38/AK38*100</f>
        <v>16.279069767441861</v>
      </c>
      <c r="AC38" s="55">
        <f>AJ38/AK38*100</f>
        <v>41.860465116279073</v>
      </c>
      <c r="AF38" s="61" t="s">
        <v>34</v>
      </c>
      <c r="AG38" s="241">
        <v>6</v>
      </c>
      <c r="AH38" s="241">
        <v>12</v>
      </c>
      <c r="AI38" s="199">
        <v>7</v>
      </c>
      <c r="AJ38" s="241">
        <v>18</v>
      </c>
      <c r="AK38" s="17">
        <f>SUM(AG38:AJ38)</f>
        <v>43</v>
      </c>
    </row>
    <row r="41" spans="2:37" x14ac:dyDescent="0.2">
      <c r="B41" s="68" t="s">
        <v>51</v>
      </c>
      <c r="C41" s="59" t="s">
        <v>1</v>
      </c>
      <c r="D41" s="17">
        <f>AVERAGE(D12:D17)</f>
        <v>69.020501835985314</v>
      </c>
      <c r="E41" s="17">
        <f>AVERAGE(E12:E17)</f>
        <v>26.305801399742649</v>
      </c>
      <c r="F41" s="17">
        <f>AVERAGE(F12:F17)</f>
        <v>4.6736967642720399</v>
      </c>
      <c r="G41" s="17">
        <f>AVERAGE(G12:G17)</f>
        <v>0</v>
      </c>
      <c r="J41" s="107" t="s">
        <v>338</v>
      </c>
      <c r="X41" s="68" t="s">
        <v>51</v>
      </c>
      <c r="Y41" s="59" t="s">
        <v>1</v>
      </c>
      <c r="Z41" s="17">
        <f>AVERAGE(Z12:Z17)</f>
        <v>69.670431674952525</v>
      </c>
      <c r="AA41" s="17">
        <f>AVERAGE(AA12:AA17)</f>
        <v>22.121390900343851</v>
      </c>
      <c r="AB41" s="17">
        <f>AVERAGE(AB12:AB17)</f>
        <v>8.2081774247036297</v>
      </c>
      <c r="AC41" s="17">
        <f>AVERAGE(AC12:AC17)</f>
        <v>0</v>
      </c>
      <c r="AF41" s="107" t="s">
        <v>338</v>
      </c>
    </row>
    <row r="42" spans="2:37" x14ac:dyDescent="0.2">
      <c r="C42" s="59" t="s">
        <v>2</v>
      </c>
      <c r="D42" s="17">
        <f>AVERAGE(D22:D24)</f>
        <v>32.956564312496518</v>
      </c>
      <c r="E42" s="17">
        <f>AVERAGE(E22:E24)</f>
        <v>18.555601606449063</v>
      </c>
      <c r="F42" s="17">
        <f>AVERAGE(F22:F24)</f>
        <v>22.774590571200743</v>
      </c>
      <c r="G42" s="17">
        <f>AVERAGE(G22:G24)</f>
        <v>25.71324350985368</v>
      </c>
      <c r="Y42" s="59" t="s">
        <v>2</v>
      </c>
      <c r="Z42" s="17">
        <f>AVERAGE(Z22:Z24)</f>
        <v>18.756449948400412</v>
      </c>
      <c r="AA42" s="17">
        <f>AVERAGE(AA22:AA24)</f>
        <v>22.652218782249744</v>
      </c>
      <c r="AB42" s="17">
        <f>AVERAGE(AB22:AB24)</f>
        <v>26.212590299277604</v>
      </c>
      <c r="AC42" s="17">
        <f>AVERAGE(AC22:AC24)</f>
        <v>32.378740970072236</v>
      </c>
    </row>
    <row r="43" spans="2:37" x14ac:dyDescent="0.2">
      <c r="C43" s="59" t="s">
        <v>3</v>
      </c>
      <c r="D43" s="17">
        <f>AVERAGE(D29:D31)</f>
        <v>31.718220491744177</v>
      </c>
      <c r="E43" s="17">
        <f>AVERAGE(E29:E31)</f>
        <v>17.564352152282066</v>
      </c>
      <c r="F43" s="17">
        <f>AVERAGE(F29:F31)</f>
        <v>23.433556853414089</v>
      </c>
      <c r="G43" s="17">
        <f>AVERAGE(G29:G31)</f>
        <v>27.283870502559665</v>
      </c>
      <c r="J43" s="59" t="s">
        <v>757</v>
      </c>
      <c r="K43" s="60" t="s">
        <v>753</v>
      </c>
      <c r="L43" s="60" t="s">
        <v>754</v>
      </c>
      <c r="M43" s="60" t="s">
        <v>755</v>
      </c>
      <c r="N43" s="175" t="s">
        <v>756</v>
      </c>
      <c r="O43" s="60" t="s">
        <v>336</v>
      </c>
      <c r="Y43" s="59" t="s">
        <v>3</v>
      </c>
      <c r="Z43" s="17">
        <f>AVERAGE(Z29:Z31)</f>
        <v>21.491464510332435</v>
      </c>
      <c r="AA43" s="17">
        <f>AVERAGE(AA29:AA31)</f>
        <v>23.505770958601147</v>
      </c>
      <c r="AB43" s="17">
        <f>AVERAGE(AB29:AB31)</f>
        <v>25.440597138710348</v>
      </c>
      <c r="AC43" s="17">
        <f>AVERAGE(AC29:AC31)</f>
        <v>29.562167392356073</v>
      </c>
      <c r="AF43" s="59"/>
      <c r="AG43" s="60" t="s">
        <v>753</v>
      </c>
      <c r="AH43" s="60" t="s">
        <v>754</v>
      </c>
      <c r="AI43" s="60" t="s">
        <v>755</v>
      </c>
      <c r="AJ43" s="175" t="s">
        <v>756</v>
      </c>
      <c r="AK43" s="60" t="s">
        <v>336</v>
      </c>
    </row>
    <row r="44" spans="2:37" x14ac:dyDescent="0.2">
      <c r="C44" s="59" t="s">
        <v>4</v>
      </c>
      <c r="D44" s="17">
        <f>AVERAGE(D36:D38)</f>
        <v>39.585137085137085</v>
      </c>
      <c r="E44" s="17">
        <f>AVERAGE(E36:E38)</f>
        <v>17.769360269360266</v>
      </c>
      <c r="F44" s="17">
        <f>AVERAGE(F36:F38)</f>
        <v>18.335738335738338</v>
      </c>
      <c r="G44" s="17">
        <f>AVERAGE(G36:G38)</f>
        <v>24.309764309764308</v>
      </c>
      <c r="J44" s="59" t="s">
        <v>1</v>
      </c>
      <c r="K44" s="17">
        <f>SUM(K12:K17)</f>
        <v>236</v>
      </c>
      <c r="L44" s="17">
        <f>SUM(L12:L17)</f>
        <v>88</v>
      </c>
      <c r="M44" s="17">
        <f>SUM(M12:M17)</f>
        <v>16</v>
      </c>
      <c r="N44" s="17">
        <f>SUM(N12:N17)</f>
        <v>0</v>
      </c>
      <c r="O44" s="17">
        <f>SUM(O12:O17)</f>
        <v>340</v>
      </c>
      <c r="Y44" s="59" t="s">
        <v>4</v>
      </c>
      <c r="Z44" s="17">
        <f>AVERAGE(Z36:Z38)</f>
        <v>19.481094763486791</v>
      </c>
      <c r="AA44" s="17">
        <f>AVERAGE(AA36:AA38)</f>
        <v>21.336957616027387</v>
      </c>
      <c r="AB44" s="17">
        <f>AVERAGE(AB36:AB38)</f>
        <v>24.572924307143577</v>
      </c>
      <c r="AC44" s="17">
        <f>AVERAGE(AC36:AC38)</f>
        <v>34.609023313342249</v>
      </c>
      <c r="AF44" s="59" t="s">
        <v>1</v>
      </c>
      <c r="AG44" s="17">
        <f>SUM(AG12:AG17)</f>
        <v>242</v>
      </c>
      <c r="AH44" s="17">
        <f>SUM(AH12:AH17)</f>
        <v>73</v>
      </c>
      <c r="AI44" s="17">
        <f>SUM(AI12:AI17)</f>
        <v>26</v>
      </c>
      <c r="AJ44" s="17">
        <f>SUM(AJ12:AJ17)</f>
        <v>0</v>
      </c>
      <c r="AK44" s="17">
        <f>SUM(AK12:AK17)</f>
        <v>341</v>
      </c>
    </row>
    <row r="45" spans="2:37" x14ac:dyDescent="0.2">
      <c r="J45" s="59" t="s">
        <v>2</v>
      </c>
      <c r="K45" s="17">
        <f>SUM(K22:K24)</f>
        <v>63</v>
      </c>
      <c r="L45" s="17">
        <f>SUM(L22:L24)</f>
        <v>37</v>
      </c>
      <c r="M45" s="17">
        <f>SUM(M22:M24)</f>
        <v>45</v>
      </c>
      <c r="N45" s="17">
        <f>SUM(N22:N24)</f>
        <v>51</v>
      </c>
      <c r="O45" s="17">
        <f>SUM(O22:O24)</f>
        <v>196</v>
      </c>
      <c r="AF45" s="59" t="s">
        <v>2</v>
      </c>
      <c r="AG45" s="17">
        <f>SUM(AG22:AG24)</f>
        <v>39</v>
      </c>
      <c r="AH45" s="17">
        <f>SUM(AH22:AH24)</f>
        <v>48</v>
      </c>
      <c r="AI45" s="17">
        <f>SUM(AI22:AI24)</f>
        <v>56</v>
      </c>
      <c r="AJ45" s="17">
        <f>SUM(AJ22:AJ24)</f>
        <v>69</v>
      </c>
      <c r="AK45" s="17">
        <f>SUM(AK22:AK24)</f>
        <v>212</v>
      </c>
    </row>
    <row r="46" spans="2:37" x14ac:dyDescent="0.2">
      <c r="J46" s="59" t="s">
        <v>3</v>
      </c>
      <c r="K46" s="17">
        <f>SUM(K29:K31)</f>
        <v>61</v>
      </c>
      <c r="L46" s="17">
        <f>SUM(L29:L31)</f>
        <v>31</v>
      </c>
      <c r="M46" s="17">
        <f>SUM(M29:M31)</f>
        <v>42</v>
      </c>
      <c r="N46" s="17">
        <f>SUM(N29:N31)</f>
        <v>48</v>
      </c>
      <c r="O46" s="17">
        <f>SUM(O29:O31)</f>
        <v>182</v>
      </c>
      <c r="AF46" s="59" t="s">
        <v>3</v>
      </c>
      <c r="AG46" s="17">
        <f>SUM(AG29:AG31)</f>
        <v>37</v>
      </c>
      <c r="AH46" s="17">
        <f>SUM(AH29:AH31)</f>
        <v>40</v>
      </c>
      <c r="AI46" s="17">
        <f>SUM(AI29:AI31)</f>
        <v>45</v>
      </c>
      <c r="AJ46" s="17">
        <f>SUM(AJ29:AJ31)</f>
        <v>52</v>
      </c>
      <c r="AK46" s="17">
        <f>SUM(AK29:AK31)</f>
        <v>174</v>
      </c>
    </row>
    <row r="47" spans="2:37" x14ac:dyDescent="0.2">
      <c r="B47" s="68" t="s">
        <v>13</v>
      </c>
      <c r="C47" s="59" t="s">
        <v>1</v>
      </c>
      <c r="D47" s="17">
        <f>STDEV(D12:D17)</f>
        <v>7.0355024210680694</v>
      </c>
      <c r="E47" s="17">
        <f>STDEV(E12:E17)</f>
        <v>8.1025230673524931</v>
      </c>
      <c r="F47" s="17">
        <f>STDEV(F12:F17)</f>
        <v>4.4925155560313543</v>
      </c>
      <c r="G47" s="17">
        <f>STDEV(G12:G17)</f>
        <v>0</v>
      </c>
      <c r="J47" s="59" t="s">
        <v>4</v>
      </c>
      <c r="K47" s="17">
        <f>SUM(K36:K38)</f>
        <v>91</v>
      </c>
      <c r="L47" s="17">
        <f>SUM(L36:L38)</f>
        <v>42</v>
      </c>
      <c r="M47" s="17">
        <f>SUM(M36:M38)</f>
        <v>42</v>
      </c>
      <c r="N47" s="17">
        <f>SUM(N36:N38)</f>
        <v>55</v>
      </c>
      <c r="O47" s="17">
        <f>SUM(O36:O38)</f>
        <v>230</v>
      </c>
      <c r="X47" s="68" t="s">
        <v>13</v>
      </c>
      <c r="Y47" s="59" t="s">
        <v>1</v>
      </c>
      <c r="Z47" s="17">
        <f>STDEV(Z12:Z17)</f>
        <v>15.014310204987002</v>
      </c>
      <c r="AA47" s="17">
        <f>STDEV(AA12:AA17)</f>
        <v>11.734363359028587</v>
      </c>
      <c r="AB47" s="17">
        <f>STDEV(AB12:AB17)</f>
        <v>4.3709704563228255</v>
      </c>
      <c r="AC47" s="17">
        <f>STDEV(AC12:AC17)</f>
        <v>0</v>
      </c>
      <c r="AF47" s="59" t="s">
        <v>4</v>
      </c>
      <c r="AG47" s="17">
        <f>SUM(AG36:AG38)</f>
        <v>29</v>
      </c>
      <c r="AH47" s="17">
        <f>SUM(AH36:AH38)</f>
        <v>31</v>
      </c>
      <c r="AI47" s="17">
        <f>SUM(AI36:AI38)</f>
        <v>37</v>
      </c>
      <c r="AJ47" s="17">
        <f>SUM(AJ36:AJ38)</f>
        <v>50</v>
      </c>
      <c r="AK47" s="17">
        <f>SUM(AK36:AK38)</f>
        <v>147</v>
      </c>
    </row>
    <row r="48" spans="2:37" x14ac:dyDescent="0.2">
      <c r="C48" s="59" t="s">
        <v>2</v>
      </c>
      <c r="D48" s="17">
        <f>STDEV(D22:D24)</f>
        <v>16.747776245045515</v>
      </c>
      <c r="E48" s="17">
        <f>STDEV(E22:E24)</f>
        <v>5.8134606718785005</v>
      </c>
      <c r="F48" s="17">
        <f>STDEV(F22:F24)</f>
        <v>6.0304594581421576</v>
      </c>
      <c r="G48" s="17">
        <f>STDEV(G22:G24)</f>
        <v>5.2290946717629279</v>
      </c>
      <c r="Y48" s="59" t="s">
        <v>2</v>
      </c>
      <c r="Z48" s="17">
        <f>STDEV(Z22:Z24)</f>
        <v>10.14620961858652</v>
      </c>
      <c r="AA48" s="17">
        <f>STDEV(AA22:AA24)</f>
        <v>2.2195321170281868</v>
      </c>
      <c r="AB48" s="17">
        <f>STDEV(AB22:AB24)</f>
        <v>5.4998963786876365</v>
      </c>
      <c r="AC48" s="17">
        <f>STDEV(AC22:AC24)</f>
        <v>6.4368804666908348</v>
      </c>
    </row>
    <row r="49" spans="2:34" x14ac:dyDescent="0.2">
      <c r="C49" s="59" t="s">
        <v>3</v>
      </c>
      <c r="D49" s="17">
        <f>STDEV(D29:D31)</f>
        <v>13.802093666905993</v>
      </c>
      <c r="E49" s="17">
        <f>STDEV(E29:E31)</f>
        <v>4.3581450538389417</v>
      </c>
      <c r="F49" s="17">
        <f>STDEV(F29:F31)</f>
        <v>3.9936155060152605</v>
      </c>
      <c r="G49" s="17">
        <f>STDEV(G29:G31)</f>
        <v>6.5033136197569537</v>
      </c>
      <c r="Y49" s="59" t="s">
        <v>3</v>
      </c>
      <c r="Z49" s="17">
        <f>STDEV(Z29:Z31)</f>
        <v>8.055707505582836</v>
      </c>
      <c r="AA49" s="17">
        <f>STDEV(AA29:AA31)</f>
        <v>9.191110651397322</v>
      </c>
      <c r="AB49" s="17">
        <f>STDEV(AB29:AB31)</f>
        <v>7.4080696198322959</v>
      </c>
      <c r="AC49" s="17">
        <f>STDEV(AC29:AC31)</f>
        <v>5.30577888386492</v>
      </c>
    </row>
    <row r="50" spans="2:34" x14ac:dyDescent="0.2">
      <c r="C50" s="59" t="s">
        <v>4</v>
      </c>
      <c r="D50" s="17">
        <f>STDEV(D36:D38)</f>
        <v>5.8319811993915343</v>
      </c>
      <c r="E50" s="17">
        <f>STDEV(E36:E38)</f>
        <v>7.0819865539972886</v>
      </c>
      <c r="F50" s="17">
        <f>STDEV(F36:F38)</f>
        <v>7.3028039603318087</v>
      </c>
      <c r="G50" s="17">
        <f>STDEV(G36:G38)</f>
        <v>5.375071826156991</v>
      </c>
      <c r="Y50" s="59" t="s">
        <v>4</v>
      </c>
      <c r="Z50" s="17">
        <f>STDEV(Z36:Z38)</f>
        <v>5.2872858028273813</v>
      </c>
      <c r="AA50" s="17">
        <f>STDEV(AA36:AA38)</f>
        <v>6.8233701563228406</v>
      </c>
      <c r="AB50" s="17">
        <f>STDEV(AB36:AB38)</f>
        <v>7.5089137827981691</v>
      </c>
      <c r="AC50" s="17">
        <f>STDEV(AC36:AC38)</f>
        <v>7.2942390987194576</v>
      </c>
    </row>
    <row r="51" spans="2:34" x14ac:dyDescent="0.2">
      <c r="AH51" s="242"/>
    </row>
    <row r="52" spans="2:34" x14ac:dyDescent="0.2">
      <c r="Z52" s="9"/>
      <c r="AA52" s="9"/>
      <c r="AB52" s="9"/>
      <c r="AC52" s="9"/>
      <c r="AH52" s="242"/>
    </row>
    <row r="53" spans="2:34" x14ac:dyDescent="0.2">
      <c r="B53" s="68" t="s">
        <v>14</v>
      </c>
      <c r="C53" s="59" t="s">
        <v>1</v>
      </c>
      <c r="D53" s="70">
        <f>D47/(6^0.5)</f>
        <v>2.8722318359554091</v>
      </c>
      <c r="E53" s="70">
        <v>4.7</v>
      </c>
      <c r="F53" s="70">
        <f>F47/(6^0.5)</f>
        <v>1.8340617956321115</v>
      </c>
      <c r="G53" s="70">
        <f>G47/(6^0.5)</f>
        <v>0</v>
      </c>
      <c r="X53" s="68" t="s">
        <v>14</v>
      </c>
      <c r="Y53" s="59" t="s">
        <v>1</v>
      </c>
      <c r="Z53" s="70">
        <f>Z47/(6^0.5)</f>
        <v>6.129566473680077</v>
      </c>
      <c r="AA53" s="70">
        <f>AA47/(6^0.5)</f>
        <v>4.7905337810052142</v>
      </c>
      <c r="AB53" s="70">
        <f>AB47/(6^0.5)</f>
        <v>1.7844412164618448</v>
      </c>
      <c r="AC53" s="70">
        <f>AC47/(6^0.5)</f>
        <v>0</v>
      </c>
      <c r="AH53" s="242"/>
    </row>
    <row r="54" spans="2:34" x14ac:dyDescent="0.2">
      <c r="C54" s="59" t="s">
        <v>2</v>
      </c>
      <c r="D54" s="70">
        <f t="shared" ref="D54:G56" si="10">D48/(3^0.5)</f>
        <v>9.6693331234046482</v>
      </c>
      <c r="E54" s="70">
        <f t="shared" si="10"/>
        <v>3.3564030838323551</v>
      </c>
      <c r="F54" s="70">
        <f t="shared" si="10"/>
        <v>3.4816873914954996</v>
      </c>
      <c r="G54" s="70">
        <f t="shared" si="10"/>
        <v>3.0190192163603644</v>
      </c>
      <c r="Y54" s="59" t="s">
        <v>2</v>
      </c>
      <c r="Z54" s="70">
        <f>Z48/(3^0.5)</f>
        <v>5.857916854545298</v>
      </c>
      <c r="AA54" s="70">
        <f>AA48/(3^0.5)</f>
        <v>1.2814474652412438</v>
      </c>
      <c r="AB54" s="70">
        <f>AB48/(3^0.5)</f>
        <v>3.1753666547503552</v>
      </c>
      <c r="AC54" s="70">
        <f>AC48/(3^0.5)</f>
        <v>3.7163346701853976</v>
      </c>
      <c r="AH54" s="242"/>
    </row>
    <row r="55" spans="2:34" x14ac:dyDescent="0.2">
      <c r="C55" s="59" t="s">
        <v>3</v>
      </c>
      <c r="D55" s="70">
        <f t="shared" si="10"/>
        <v>7.9686424939686047</v>
      </c>
      <c r="E55" s="70">
        <f t="shared" si="10"/>
        <v>2.5161762200013493</v>
      </c>
      <c r="F55" s="70">
        <f t="shared" si="10"/>
        <v>2.3057149874377743</v>
      </c>
      <c r="G55" s="70">
        <f t="shared" si="10"/>
        <v>3.7546898689912371</v>
      </c>
      <c r="Y55" s="59" t="s">
        <v>3</v>
      </c>
      <c r="Z55" s="70">
        <f t="shared" ref="Z55:AC56" si="11">Z49/(3^0.5)</f>
        <v>4.6509648968611392</v>
      </c>
      <c r="AA55" s="70">
        <f t="shared" si="11"/>
        <v>5.3064902087358812</v>
      </c>
      <c r="AB55" s="70">
        <f t="shared" si="11"/>
        <v>4.277050989185665</v>
      </c>
      <c r="AC55" s="70">
        <f t="shared" si="11"/>
        <v>3.0632928668600439</v>
      </c>
      <c r="AH55" s="242"/>
    </row>
    <row r="56" spans="2:34" x14ac:dyDescent="0.2">
      <c r="C56" s="59" t="s">
        <v>4</v>
      </c>
      <c r="D56" s="70">
        <f t="shared" si="10"/>
        <v>3.3670959153775391</v>
      </c>
      <c r="E56" s="70">
        <f t="shared" si="10"/>
        <v>4.0887868433476449</v>
      </c>
      <c r="F56" s="70">
        <f t="shared" si="10"/>
        <v>4.2162758323366347</v>
      </c>
      <c r="G56" s="70">
        <f t="shared" si="10"/>
        <v>3.1032991657453124</v>
      </c>
      <c r="Y56" s="59" t="s">
        <v>4</v>
      </c>
      <c r="Z56" s="70">
        <f t="shared" si="11"/>
        <v>3.0526158815448752</v>
      </c>
      <c r="AA56" s="70">
        <f t="shared" si="11"/>
        <v>3.9394745965334512</v>
      </c>
      <c r="AB56" s="70">
        <f t="shared" si="11"/>
        <v>4.3352733938202146</v>
      </c>
      <c r="AC56" s="70">
        <f t="shared" si="11"/>
        <v>4.211330907179172</v>
      </c>
      <c r="AH56" s="242"/>
    </row>
    <row r="57" spans="2:34" x14ac:dyDescent="0.2">
      <c r="C57" s="21"/>
      <c r="D57" s="79"/>
      <c r="E57" s="79"/>
      <c r="F57" s="79"/>
      <c r="G57" s="79"/>
      <c r="Y57" s="21"/>
      <c r="Z57" s="79"/>
      <c r="AA57" s="79"/>
      <c r="AB57" s="79"/>
      <c r="AC57" s="79"/>
      <c r="AH57" s="242"/>
    </row>
    <row r="58" spans="2:34" x14ac:dyDescent="0.2">
      <c r="C58" s="68"/>
      <c r="D58" s="79"/>
      <c r="E58" s="79"/>
      <c r="F58" s="79"/>
      <c r="G58" s="79"/>
      <c r="Y58" s="68"/>
      <c r="Z58" s="79"/>
      <c r="AA58" s="79"/>
      <c r="AB58" s="79"/>
      <c r="AC58" s="79"/>
      <c r="AH58" s="242"/>
    </row>
    <row r="60" spans="2:34" ht="18" x14ac:dyDescent="0.2">
      <c r="B60" s="19" t="s">
        <v>52</v>
      </c>
      <c r="C60" s="20"/>
      <c r="D60" s="20"/>
      <c r="E60" s="20"/>
      <c r="X60" s="19" t="s">
        <v>52</v>
      </c>
      <c r="Y60" s="20"/>
      <c r="Z60" s="20"/>
      <c r="AA60" s="20"/>
    </row>
    <row r="62" spans="2:34" x14ac:dyDescent="0.2">
      <c r="B62" s="243" t="s">
        <v>758</v>
      </c>
      <c r="X62" s="236" t="s">
        <v>762</v>
      </c>
    </row>
    <row r="63" spans="2:34" x14ac:dyDescent="0.2">
      <c r="B63" s="15" t="s">
        <v>53</v>
      </c>
      <c r="X63" s="15" t="s">
        <v>53</v>
      </c>
    </row>
    <row r="64" spans="2:34" x14ac:dyDescent="0.2">
      <c r="B64" s="2" t="s">
        <v>0</v>
      </c>
      <c r="E64" s="46">
        <v>12.64</v>
      </c>
      <c r="X64" s="2" t="s">
        <v>0</v>
      </c>
      <c r="AA64" s="46">
        <v>21.55</v>
      </c>
    </row>
    <row r="65" spans="2:29" x14ac:dyDescent="0.2">
      <c r="B65" s="2" t="s">
        <v>36</v>
      </c>
      <c r="E65" s="46">
        <v>6.9999999999999999E-4</v>
      </c>
      <c r="X65" s="2" t="s">
        <v>36</v>
      </c>
      <c r="AA65" s="46" t="s">
        <v>176</v>
      </c>
    </row>
    <row r="66" spans="2:29" x14ac:dyDescent="0.2">
      <c r="B66" s="2" t="s">
        <v>37</v>
      </c>
      <c r="E66" s="46" t="s">
        <v>10</v>
      </c>
      <c r="X66" s="2" t="s">
        <v>37</v>
      </c>
      <c r="AA66" s="46" t="s">
        <v>10</v>
      </c>
    </row>
    <row r="67" spans="2:29" x14ac:dyDescent="0.2">
      <c r="B67" s="2" t="s">
        <v>54</v>
      </c>
      <c r="E67" s="46" t="s">
        <v>41</v>
      </c>
      <c r="X67" s="2" t="s">
        <v>54</v>
      </c>
      <c r="AA67" s="46" t="s">
        <v>41</v>
      </c>
    </row>
    <row r="68" spans="2:29" x14ac:dyDescent="0.2">
      <c r="B68" s="2" t="s">
        <v>55</v>
      </c>
      <c r="E68" s="46">
        <v>0.77510000000000001</v>
      </c>
      <c r="X68" s="2" t="s">
        <v>55</v>
      </c>
      <c r="AA68" s="46">
        <v>0.85460000000000003</v>
      </c>
    </row>
    <row r="70" spans="2:29" x14ac:dyDescent="0.2">
      <c r="B70" s="3" t="s">
        <v>44</v>
      </c>
      <c r="C70" s="76"/>
      <c r="D70" s="76"/>
      <c r="E70" s="76"/>
      <c r="F70" s="76"/>
      <c r="G70" s="76"/>
      <c r="H70" s="233"/>
      <c r="X70" s="3" t="s">
        <v>44</v>
      </c>
      <c r="Y70" s="76"/>
      <c r="Z70" s="76"/>
      <c r="AA70" s="76"/>
      <c r="AB70" s="76"/>
      <c r="AC70" s="76"/>
    </row>
    <row r="71" spans="2:29" x14ac:dyDescent="0.2">
      <c r="B71" s="76"/>
      <c r="C71" s="16" t="s">
        <v>45</v>
      </c>
      <c r="D71" s="16" t="s">
        <v>46</v>
      </c>
      <c r="E71" s="16" t="s">
        <v>47</v>
      </c>
      <c r="F71" s="16" t="s">
        <v>48</v>
      </c>
      <c r="G71" s="16" t="s">
        <v>5</v>
      </c>
      <c r="H71" s="233"/>
      <c r="X71" s="76"/>
      <c r="Y71" s="16" t="s">
        <v>45</v>
      </c>
      <c r="Z71" s="16" t="s">
        <v>46</v>
      </c>
      <c r="AA71" s="16" t="s">
        <v>47</v>
      </c>
      <c r="AB71" s="16" t="s">
        <v>48</v>
      </c>
      <c r="AC71" s="16" t="s">
        <v>5</v>
      </c>
    </row>
    <row r="72" spans="2:29" x14ac:dyDescent="0.2">
      <c r="B72" s="2" t="s">
        <v>6</v>
      </c>
      <c r="C72" s="1">
        <v>36.06</v>
      </c>
      <c r="D72" s="1" t="s">
        <v>767</v>
      </c>
      <c r="E72" s="1" t="s">
        <v>41</v>
      </c>
      <c r="F72" s="1" t="s">
        <v>11</v>
      </c>
      <c r="G72" s="1">
        <v>1.6000000000000001E-3</v>
      </c>
      <c r="H72" s="233"/>
      <c r="X72" s="2" t="s">
        <v>6</v>
      </c>
      <c r="Y72" s="1">
        <v>50.91</v>
      </c>
      <c r="Z72" s="1" t="s">
        <v>776</v>
      </c>
      <c r="AA72" s="1" t="s">
        <v>41</v>
      </c>
      <c r="AB72" s="1" t="s">
        <v>10</v>
      </c>
      <c r="AC72" s="1">
        <v>2.0000000000000001E-4</v>
      </c>
    </row>
    <row r="73" spans="2:29" x14ac:dyDescent="0.2">
      <c r="B73" s="2" t="s">
        <v>7</v>
      </c>
      <c r="C73" s="1">
        <v>37.299999999999997</v>
      </c>
      <c r="D73" s="1" t="s">
        <v>768</v>
      </c>
      <c r="E73" s="1" t="s">
        <v>41</v>
      </c>
      <c r="F73" s="1" t="s">
        <v>11</v>
      </c>
      <c r="G73" s="1">
        <v>1.2999999999999999E-3</v>
      </c>
      <c r="H73" s="233"/>
      <c r="X73" s="2" t="s">
        <v>7</v>
      </c>
      <c r="Y73" s="1">
        <v>48.18</v>
      </c>
      <c r="Z73" s="1" t="s">
        <v>777</v>
      </c>
      <c r="AA73" s="1" t="s">
        <v>41</v>
      </c>
      <c r="AB73" s="1" t="s">
        <v>10</v>
      </c>
      <c r="AC73" s="1">
        <v>4.0000000000000002E-4</v>
      </c>
    </row>
    <row r="74" spans="2:29" x14ac:dyDescent="0.2">
      <c r="B74" s="2" t="s">
        <v>8</v>
      </c>
      <c r="C74" s="1">
        <v>29.44</v>
      </c>
      <c r="D74" s="1" t="s">
        <v>769</v>
      </c>
      <c r="E74" s="1" t="s">
        <v>41</v>
      </c>
      <c r="F74" s="1" t="s">
        <v>11</v>
      </c>
      <c r="G74" s="1">
        <v>7.0000000000000001E-3</v>
      </c>
      <c r="H74" s="233"/>
      <c r="X74" s="2" t="s">
        <v>8</v>
      </c>
      <c r="Y74" s="1">
        <v>50.19</v>
      </c>
      <c r="Z74" s="1" t="s">
        <v>778</v>
      </c>
      <c r="AA74" s="1" t="s">
        <v>41</v>
      </c>
      <c r="AB74" s="1" t="s">
        <v>10</v>
      </c>
      <c r="AC74" s="1">
        <v>2.9999999999999997E-4</v>
      </c>
    </row>
    <row r="77" spans="2:29" x14ac:dyDescent="0.2">
      <c r="B77" s="243" t="s">
        <v>759</v>
      </c>
      <c r="X77" s="243" t="s">
        <v>763</v>
      </c>
    </row>
    <row r="78" spans="2:29" x14ac:dyDescent="0.2">
      <c r="B78" s="15" t="s">
        <v>53</v>
      </c>
      <c r="X78" s="15" t="s">
        <v>53</v>
      </c>
    </row>
    <row r="79" spans="2:29" x14ac:dyDescent="0.2">
      <c r="B79" s="2" t="s">
        <v>0</v>
      </c>
      <c r="E79" s="46">
        <v>1.7310000000000001</v>
      </c>
      <c r="X79" s="2" t="s">
        <v>0</v>
      </c>
      <c r="AB79" s="46">
        <v>2.93E-2</v>
      </c>
    </row>
    <row r="80" spans="2:29" x14ac:dyDescent="0.2">
      <c r="B80" s="2" t="s">
        <v>36</v>
      </c>
      <c r="E80" s="46">
        <v>0.21820000000000001</v>
      </c>
      <c r="X80" s="2" t="s">
        <v>36</v>
      </c>
      <c r="AB80" s="46">
        <v>0.9929</v>
      </c>
    </row>
    <row r="81" spans="2:29" x14ac:dyDescent="0.2">
      <c r="B81" s="2" t="s">
        <v>37</v>
      </c>
      <c r="E81" s="46" t="s">
        <v>9</v>
      </c>
      <c r="X81" s="2" t="s">
        <v>37</v>
      </c>
      <c r="AB81" s="46" t="s">
        <v>9</v>
      </c>
    </row>
    <row r="82" spans="2:29" x14ac:dyDescent="0.2">
      <c r="B82" s="2" t="s">
        <v>54</v>
      </c>
      <c r="E82" s="46" t="s">
        <v>49</v>
      </c>
      <c r="X82" s="2" t="s">
        <v>54</v>
      </c>
      <c r="AB82" s="46" t="s">
        <v>49</v>
      </c>
    </row>
    <row r="83" spans="2:29" x14ac:dyDescent="0.2">
      <c r="B83" s="2" t="s">
        <v>55</v>
      </c>
      <c r="E83" s="46">
        <v>0.32069999999999999</v>
      </c>
      <c r="X83" s="2" t="s">
        <v>55</v>
      </c>
      <c r="AB83" s="46">
        <v>7.927E-3</v>
      </c>
    </row>
    <row r="85" spans="2:29" x14ac:dyDescent="0.2">
      <c r="B85" s="3" t="s">
        <v>44</v>
      </c>
      <c r="C85" s="76"/>
      <c r="D85" s="76"/>
      <c r="E85" s="76"/>
      <c r="F85" s="76"/>
      <c r="G85" s="76"/>
      <c r="H85" s="233"/>
      <c r="X85" s="3" t="s">
        <v>44</v>
      </c>
      <c r="Y85" s="47"/>
      <c r="Z85" s="47"/>
      <c r="AA85" s="47"/>
      <c r="AB85" s="47"/>
      <c r="AC85" s="47"/>
    </row>
    <row r="86" spans="2:29" x14ac:dyDescent="0.2">
      <c r="B86" s="76"/>
      <c r="C86" s="16" t="s">
        <v>45</v>
      </c>
      <c r="D86" s="16" t="s">
        <v>46</v>
      </c>
      <c r="E86" s="16" t="s">
        <v>47</v>
      </c>
      <c r="F86" s="16" t="s">
        <v>48</v>
      </c>
      <c r="G86" s="16" t="s">
        <v>5</v>
      </c>
      <c r="H86" s="233"/>
      <c r="X86" s="47"/>
      <c r="Y86" s="16" t="s">
        <v>45</v>
      </c>
      <c r="Z86" s="16" t="s">
        <v>46</v>
      </c>
      <c r="AA86" s="16" t="s">
        <v>47</v>
      </c>
      <c r="AB86" s="16" t="s">
        <v>48</v>
      </c>
      <c r="AC86" s="16" t="s">
        <v>5</v>
      </c>
    </row>
    <row r="87" spans="2:29" x14ac:dyDescent="0.2">
      <c r="B87" s="2" t="s">
        <v>6</v>
      </c>
      <c r="C87" s="1">
        <v>7.75</v>
      </c>
      <c r="D87" s="1" t="s">
        <v>770</v>
      </c>
      <c r="E87" s="1" t="s">
        <v>49</v>
      </c>
      <c r="F87" s="1" t="s">
        <v>9</v>
      </c>
      <c r="G87" s="1">
        <v>0.33660000000000001</v>
      </c>
      <c r="H87" s="233"/>
      <c r="X87" s="2" t="s">
        <v>6</v>
      </c>
      <c r="Y87" s="1">
        <v>-0.53080000000000005</v>
      </c>
      <c r="Z87" s="1" t="s">
        <v>782</v>
      </c>
      <c r="AA87" s="1" t="s">
        <v>49</v>
      </c>
      <c r="AB87" s="1" t="s">
        <v>9</v>
      </c>
      <c r="AC87" s="1">
        <v>0.99960000000000004</v>
      </c>
    </row>
    <row r="88" spans="2:29" x14ac:dyDescent="0.2">
      <c r="B88" s="2" t="s">
        <v>7</v>
      </c>
      <c r="C88" s="1">
        <v>8.7409999999999997</v>
      </c>
      <c r="D88" s="1" t="s">
        <v>771</v>
      </c>
      <c r="E88" s="1" t="s">
        <v>49</v>
      </c>
      <c r="F88" s="1" t="s">
        <v>9</v>
      </c>
      <c r="G88" s="1">
        <v>0.25130000000000002</v>
      </c>
      <c r="H88" s="233"/>
      <c r="X88" s="2" t="s">
        <v>7</v>
      </c>
      <c r="Y88" s="1">
        <v>-1.3839999999999999</v>
      </c>
      <c r="Z88" s="1" t="s">
        <v>783</v>
      </c>
      <c r="AA88" s="1" t="s">
        <v>49</v>
      </c>
      <c r="AB88" s="1" t="s">
        <v>9</v>
      </c>
      <c r="AC88" s="1">
        <v>0.99439999999999995</v>
      </c>
    </row>
    <row r="89" spans="2:29" x14ac:dyDescent="0.2">
      <c r="B89" s="2" t="s">
        <v>8</v>
      </c>
      <c r="C89" s="1">
        <v>8.5359999999999996</v>
      </c>
      <c r="D89" s="1" t="s">
        <v>772</v>
      </c>
      <c r="E89" s="1" t="s">
        <v>49</v>
      </c>
      <c r="F89" s="1" t="s">
        <v>9</v>
      </c>
      <c r="G89" s="1">
        <v>0.26740000000000003</v>
      </c>
      <c r="H89" s="233"/>
      <c r="X89" s="2" t="s">
        <v>8</v>
      </c>
      <c r="Y89" s="1">
        <v>0.78439999999999999</v>
      </c>
      <c r="Z89" s="1" t="s">
        <v>784</v>
      </c>
      <c r="AA89" s="1" t="s">
        <v>49</v>
      </c>
      <c r="AB89" s="1" t="s">
        <v>9</v>
      </c>
      <c r="AC89" s="1">
        <v>0.999</v>
      </c>
    </row>
    <row r="92" spans="2:29" x14ac:dyDescent="0.2">
      <c r="B92" s="243" t="s">
        <v>760</v>
      </c>
      <c r="X92" s="243" t="s">
        <v>764</v>
      </c>
    </row>
    <row r="93" spans="2:29" x14ac:dyDescent="0.2">
      <c r="B93" s="15" t="s">
        <v>53</v>
      </c>
      <c r="X93" s="15" t="s">
        <v>53</v>
      </c>
    </row>
    <row r="94" spans="2:29" x14ac:dyDescent="0.2">
      <c r="B94" s="2" t="s">
        <v>0</v>
      </c>
      <c r="E94" s="46">
        <v>12.53</v>
      </c>
      <c r="X94" s="2" t="s">
        <v>0</v>
      </c>
      <c r="AB94" s="46">
        <v>10.36</v>
      </c>
    </row>
    <row r="95" spans="2:29" x14ac:dyDescent="0.2">
      <c r="B95" s="2" t="s">
        <v>36</v>
      </c>
      <c r="E95" s="46">
        <v>6.9999999999999999E-4</v>
      </c>
      <c r="X95" s="2" t="s">
        <v>36</v>
      </c>
      <c r="AB95" s="46">
        <v>1.6000000000000001E-3</v>
      </c>
    </row>
    <row r="96" spans="2:29" x14ac:dyDescent="0.2">
      <c r="B96" s="2" t="s">
        <v>37</v>
      </c>
      <c r="E96" s="46" t="s">
        <v>10</v>
      </c>
      <c r="X96" s="2" t="s">
        <v>37</v>
      </c>
      <c r="AB96" s="46" t="s">
        <v>11</v>
      </c>
    </row>
    <row r="97" spans="2:29" x14ac:dyDescent="0.2">
      <c r="B97" s="2" t="s">
        <v>54</v>
      </c>
      <c r="E97" s="46" t="s">
        <v>41</v>
      </c>
      <c r="X97" s="2" t="s">
        <v>54</v>
      </c>
      <c r="AB97" s="46" t="s">
        <v>41</v>
      </c>
    </row>
    <row r="98" spans="2:29" x14ac:dyDescent="0.2">
      <c r="B98" s="2" t="s">
        <v>55</v>
      </c>
      <c r="E98" s="46">
        <v>0.77370000000000005</v>
      </c>
      <c r="X98" s="2" t="s">
        <v>55</v>
      </c>
      <c r="AB98" s="46">
        <v>0.73850000000000005</v>
      </c>
    </row>
    <row r="100" spans="2:29" x14ac:dyDescent="0.2">
      <c r="B100" s="3" t="s">
        <v>44</v>
      </c>
      <c r="C100" s="76"/>
      <c r="D100" s="76"/>
      <c r="E100" s="76"/>
      <c r="F100" s="76"/>
      <c r="G100" s="76"/>
      <c r="X100" s="3" t="s">
        <v>44</v>
      </c>
      <c r="Y100" s="47"/>
      <c r="Z100" s="47"/>
      <c r="AA100" s="47"/>
      <c r="AB100" s="47"/>
      <c r="AC100" s="47"/>
    </row>
    <row r="101" spans="2:29" x14ac:dyDescent="0.2">
      <c r="B101" s="76"/>
      <c r="C101" s="16" t="s">
        <v>45</v>
      </c>
      <c r="D101" s="16" t="s">
        <v>46</v>
      </c>
      <c r="E101" s="16" t="s">
        <v>47</v>
      </c>
      <c r="F101" s="16" t="s">
        <v>48</v>
      </c>
      <c r="G101" s="16" t="s">
        <v>5</v>
      </c>
      <c r="X101" s="47"/>
      <c r="Y101" s="16" t="s">
        <v>45</v>
      </c>
      <c r="Z101" s="16" t="s">
        <v>46</v>
      </c>
      <c r="AA101" s="16" t="s">
        <v>47</v>
      </c>
      <c r="AB101" s="16" t="s">
        <v>48</v>
      </c>
      <c r="AC101" s="16" t="s">
        <v>5</v>
      </c>
    </row>
    <row r="102" spans="2:29" x14ac:dyDescent="0.2">
      <c r="B102" s="2" t="s">
        <v>6</v>
      </c>
      <c r="C102" s="1">
        <v>-18.100000000000001</v>
      </c>
      <c r="D102" s="1" t="s">
        <v>773</v>
      </c>
      <c r="E102" s="1" t="s">
        <v>41</v>
      </c>
      <c r="F102" s="1" t="s">
        <v>11</v>
      </c>
      <c r="G102" s="1">
        <v>1.6000000000000001E-3</v>
      </c>
      <c r="X102" s="2" t="s">
        <v>6</v>
      </c>
      <c r="Y102" s="1">
        <v>-18</v>
      </c>
      <c r="Z102" s="1" t="s">
        <v>785</v>
      </c>
      <c r="AA102" s="1" t="s">
        <v>41</v>
      </c>
      <c r="AB102" s="1" t="s">
        <v>11</v>
      </c>
      <c r="AC102" s="1">
        <v>3.3E-3</v>
      </c>
    </row>
    <row r="103" spans="2:29" x14ac:dyDescent="0.2">
      <c r="B103" s="2" t="s">
        <v>7</v>
      </c>
      <c r="C103" s="1">
        <v>-18.760000000000002</v>
      </c>
      <c r="D103" s="1" t="s">
        <v>774</v>
      </c>
      <c r="E103" s="1" t="s">
        <v>41</v>
      </c>
      <c r="F103" s="1" t="s">
        <v>11</v>
      </c>
      <c r="G103" s="1">
        <v>1.1999999999999999E-3</v>
      </c>
      <c r="X103" s="2" t="s">
        <v>7</v>
      </c>
      <c r="Y103" s="1">
        <v>-17.23</v>
      </c>
      <c r="Z103" s="1" t="s">
        <v>786</v>
      </c>
      <c r="AA103" s="1" t="s">
        <v>41</v>
      </c>
      <c r="AB103" s="1" t="s">
        <v>11</v>
      </c>
      <c r="AC103" s="1">
        <v>4.4999999999999997E-3</v>
      </c>
    </row>
    <row r="104" spans="2:29" x14ac:dyDescent="0.2">
      <c r="B104" s="2" t="s">
        <v>8</v>
      </c>
      <c r="C104" s="1">
        <v>-13.66</v>
      </c>
      <c r="D104" s="1" t="s">
        <v>775</v>
      </c>
      <c r="E104" s="1" t="s">
        <v>41</v>
      </c>
      <c r="F104" s="1" t="s">
        <v>12</v>
      </c>
      <c r="G104" s="1">
        <v>1.0999999999999999E-2</v>
      </c>
      <c r="X104" s="2" t="s">
        <v>8</v>
      </c>
      <c r="Y104" s="1">
        <v>-16.36</v>
      </c>
      <c r="Z104" s="1" t="s">
        <v>787</v>
      </c>
      <c r="AA104" s="1" t="s">
        <v>41</v>
      </c>
      <c r="AB104" s="1" t="s">
        <v>11</v>
      </c>
      <c r="AC104" s="1">
        <v>6.4000000000000003E-3</v>
      </c>
    </row>
    <row r="107" spans="2:29" x14ac:dyDescent="0.2">
      <c r="B107" s="243" t="s">
        <v>761</v>
      </c>
      <c r="X107" s="243" t="s">
        <v>765</v>
      </c>
    </row>
    <row r="108" spans="2:29" x14ac:dyDescent="0.2">
      <c r="B108" s="15" t="s">
        <v>53</v>
      </c>
      <c r="X108" s="15" t="s">
        <v>53</v>
      </c>
    </row>
    <row r="109" spans="2:29" x14ac:dyDescent="0.2">
      <c r="B109" s="2" t="s">
        <v>0</v>
      </c>
      <c r="E109" s="46">
        <v>44.73</v>
      </c>
      <c r="X109" s="2" t="s">
        <v>0</v>
      </c>
      <c r="AB109" s="46">
        <v>56.25</v>
      </c>
    </row>
    <row r="110" spans="2:29" x14ac:dyDescent="0.2">
      <c r="B110" s="2" t="s">
        <v>36</v>
      </c>
      <c r="E110" s="46" t="s">
        <v>176</v>
      </c>
      <c r="X110" s="2" t="s">
        <v>36</v>
      </c>
      <c r="AB110" s="46" t="s">
        <v>176</v>
      </c>
    </row>
    <row r="111" spans="2:29" x14ac:dyDescent="0.2">
      <c r="B111" s="2" t="s">
        <v>37</v>
      </c>
      <c r="E111" s="46" t="s">
        <v>10</v>
      </c>
      <c r="X111" s="2" t="s">
        <v>37</v>
      </c>
      <c r="AB111" s="46" t="s">
        <v>10</v>
      </c>
    </row>
    <row r="112" spans="2:29" x14ac:dyDescent="0.2">
      <c r="B112" s="2" t="s">
        <v>54</v>
      </c>
      <c r="E112" s="46" t="s">
        <v>41</v>
      </c>
      <c r="X112" s="2" t="s">
        <v>54</v>
      </c>
      <c r="AB112" s="46" t="s">
        <v>41</v>
      </c>
    </row>
    <row r="113" spans="2:29" x14ac:dyDescent="0.2">
      <c r="B113" s="2" t="s">
        <v>55</v>
      </c>
      <c r="E113" s="46">
        <v>0.92420000000000002</v>
      </c>
      <c r="X113" s="2" t="s">
        <v>55</v>
      </c>
      <c r="AB113" s="46">
        <v>0.93879999999999997</v>
      </c>
    </row>
    <row r="115" spans="2:29" x14ac:dyDescent="0.2">
      <c r="B115" s="3" t="s">
        <v>44</v>
      </c>
      <c r="C115" s="76"/>
      <c r="D115" s="76"/>
      <c r="E115" s="76"/>
      <c r="F115" s="76"/>
      <c r="G115" s="76"/>
      <c r="X115" s="3" t="s">
        <v>44</v>
      </c>
      <c r="Y115" s="47"/>
      <c r="Z115" s="47"/>
      <c r="AA115" s="47"/>
      <c r="AB115" s="47"/>
      <c r="AC115" s="47"/>
    </row>
    <row r="116" spans="2:29" x14ac:dyDescent="0.2">
      <c r="B116" s="76"/>
      <c r="C116" s="16" t="s">
        <v>45</v>
      </c>
      <c r="D116" s="16" t="s">
        <v>46</v>
      </c>
      <c r="E116" s="16" t="s">
        <v>47</v>
      </c>
      <c r="F116" s="16" t="s">
        <v>48</v>
      </c>
      <c r="G116" s="16" t="s">
        <v>5</v>
      </c>
      <c r="X116" s="47"/>
      <c r="Y116" s="16" t="s">
        <v>45</v>
      </c>
      <c r="Z116" s="16" t="s">
        <v>46</v>
      </c>
      <c r="AA116" s="16" t="s">
        <v>47</v>
      </c>
      <c r="AB116" s="16" t="s">
        <v>48</v>
      </c>
      <c r="AC116" s="16" t="s">
        <v>5</v>
      </c>
    </row>
    <row r="117" spans="2:29" x14ac:dyDescent="0.2">
      <c r="B117" s="2" t="s">
        <v>6</v>
      </c>
      <c r="C117" s="1">
        <v>-25.71</v>
      </c>
      <c r="D117" s="1" t="s">
        <v>779</v>
      </c>
      <c r="E117" s="1" t="s">
        <v>41</v>
      </c>
      <c r="F117" s="1" t="s">
        <v>10</v>
      </c>
      <c r="G117" s="1" t="s">
        <v>176</v>
      </c>
      <c r="X117" s="2" t="s">
        <v>6</v>
      </c>
      <c r="Y117" s="1">
        <v>-32.380000000000003</v>
      </c>
      <c r="Z117" s="1" t="s">
        <v>788</v>
      </c>
      <c r="AA117" s="1" t="s">
        <v>41</v>
      </c>
      <c r="AB117" s="1" t="s">
        <v>10</v>
      </c>
      <c r="AC117" s="1" t="s">
        <v>176</v>
      </c>
    </row>
    <row r="118" spans="2:29" x14ac:dyDescent="0.2">
      <c r="B118" s="2" t="s">
        <v>7</v>
      </c>
      <c r="C118" s="1">
        <v>-27.28</v>
      </c>
      <c r="D118" s="1" t="s">
        <v>780</v>
      </c>
      <c r="E118" s="1" t="s">
        <v>41</v>
      </c>
      <c r="F118" s="1" t="s">
        <v>10</v>
      </c>
      <c r="G118" s="1" t="s">
        <v>176</v>
      </c>
      <c r="X118" s="2" t="s">
        <v>7</v>
      </c>
      <c r="Y118" s="1">
        <v>-29.56</v>
      </c>
      <c r="Z118" s="1" t="s">
        <v>789</v>
      </c>
      <c r="AA118" s="1" t="s">
        <v>41</v>
      </c>
      <c r="AB118" s="1" t="s">
        <v>10</v>
      </c>
      <c r="AC118" s="1" t="s">
        <v>176</v>
      </c>
    </row>
    <row r="119" spans="2:29" x14ac:dyDescent="0.2">
      <c r="B119" s="2" t="s">
        <v>8</v>
      </c>
      <c r="C119" s="1">
        <v>-24.31</v>
      </c>
      <c r="D119" s="1" t="s">
        <v>781</v>
      </c>
      <c r="E119" s="1" t="s">
        <v>41</v>
      </c>
      <c r="F119" s="1" t="s">
        <v>10</v>
      </c>
      <c r="G119" s="1" t="s">
        <v>176</v>
      </c>
      <c r="X119" s="2" t="s">
        <v>8</v>
      </c>
      <c r="Y119" s="1">
        <v>-34.61</v>
      </c>
      <c r="Z119" s="1" t="s">
        <v>790</v>
      </c>
      <c r="AA119" s="1" t="s">
        <v>41</v>
      </c>
      <c r="AB119" s="1" t="s">
        <v>10</v>
      </c>
      <c r="AC119" s="1" t="s">
        <v>176</v>
      </c>
    </row>
  </sheetData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Z97"/>
  <sheetViews>
    <sheetView zoomScale="86" zoomScaleNormal="86" zoomScalePageLayoutView="86" workbookViewId="0">
      <selection activeCell="V54" sqref="V54"/>
    </sheetView>
  </sheetViews>
  <sheetFormatPr baseColWidth="10" defaultColWidth="11" defaultRowHeight="16" x14ac:dyDescent="0.2"/>
  <cols>
    <col min="1" max="1" width="19" style="27" customWidth="1"/>
    <col min="2" max="2" width="15.1640625" style="27" customWidth="1"/>
    <col min="3" max="3" width="26.5" style="27" customWidth="1"/>
    <col min="4" max="4" width="16.6640625" style="27" customWidth="1"/>
    <col min="5" max="5" width="13.5" style="27" customWidth="1"/>
    <col min="6" max="8" width="11" style="27"/>
    <col min="9" max="9" width="20.1640625" style="27" bestFit="1" customWidth="1"/>
    <col min="10" max="10" width="12.1640625" style="27" bestFit="1" customWidth="1"/>
    <col min="11" max="11" width="11" style="27"/>
    <col min="12" max="12" width="22" style="201" customWidth="1"/>
    <col min="13" max="14" width="11" style="27"/>
    <col min="15" max="15" width="20.33203125" style="27" customWidth="1"/>
    <col min="16" max="16" width="15.6640625" style="27" customWidth="1"/>
    <col min="17" max="17" width="26.1640625" style="27" customWidth="1"/>
    <col min="18" max="18" width="15.1640625" style="27" customWidth="1"/>
    <col min="19" max="19" width="13.6640625" style="27" customWidth="1"/>
    <col min="20" max="22" width="11" style="27"/>
    <col min="23" max="23" width="22" style="27" customWidth="1"/>
    <col min="24" max="25" width="11" style="27"/>
    <col min="26" max="26" width="11" style="201"/>
    <col min="27" max="16384" width="11" style="27"/>
  </cols>
  <sheetData>
    <row r="1" spans="1:26" x14ac:dyDescent="0.2">
      <c r="A1" s="9"/>
      <c r="B1" s="9"/>
      <c r="C1" s="9"/>
      <c r="D1" s="9"/>
      <c r="E1" s="9"/>
    </row>
    <row r="2" spans="1:26" ht="18" x14ac:dyDescent="0.2">
      <c r="A2" s="53" t="s">
        <v>795</v>
      </c>
      <c r="B2" s="14"/>
      <c r="C2" s="9"/>
      <c r="D2" s="9"/>
      <c r="E2" s="9"/>
    </row>
    <row r="3" spans="1:26" x14ac:dyDescent="0.2">
      <c r="A3" s="9"/>
      <c r="B3" s="9"/>
      <c r="C3" s="9"/>
      <c r="D3" s="9"/>
      <c r="E3" s="9"/>
    </row>
    <row r="4" spans="1:26" ht="18" x14ac:dyDescent="0.2">
      <c r="A4" s="14" t="s">
        <v>1041</v>
      </c>
      <c r="B4" s="14"/>
      <c r="C4" s="14"/>
      <c r="D4" s="14"/>
      <c r="E4" s="9"/>
    </row>
    <row r="5" spans="1:26" ht="18" x14ac:dyDescent="0.2">
      <c r="A5" s="246"/>
      <c r="B5" s="9"/>
      <c r="C5" s="9"/>
      <c r="D5" s="9"/>
      <c r="E5" s="9"/>
    </row>
    <row r="6" spans="1:26" ht="18" x14ac:dyDescent="0.2">
      <c r="A6" s="246"/>
      <c r="B6" s="52" t="s">
        <v>658</v>
      </c>
      <c r="C6" s="9"/>
      <c r="D6" s="9"/>
      <c r="E6" s="9"/>
      <c r="O6" s="246"/>
      <c r="P6" s="52" t="s">
        <v>662</v>
      </c>
      <c r="Q6" s="9"/>
      <c r="R6" s="9"/>
      <c r="S6" s="9"/>
    </row>
    <row r="7" spans="1:26" x14ac:dyDescent="0.2">
      <c r="A7" s="9"/>
      <c r="B7" s="9"/>
      <c r="C7" s="9"/>
      <c r="D7" s="9"/>
      <c r="E7" s="9"/>
      <c r="O7" s="9"/>
      <c r="P7" s="9"/>
      <c r="Q7" s="9"/>
      <c r="R7" s="9"/>
      <c r="S7" s="9"/>
    </row>
    <row r="8" spans="1:26" x14ac:dyDescent="0.2">
      <c r="A8" s="9"/>
      <c r="B8" s="9" t="s">
        <v>179</v>
      </c>
      <c r="C8" s="9"/>
      <c r="D8" s="9"/>
      <c r="E8" s="9"/>
      <c r="H8" s="9" t="s">
        <v>180</v>
      </c>
      <c r="O8" s="9"/>
      <c r="P8" s="9" t="s">
        <v>179</v>
      </c>
      <c r="Q8" s="9"/>
      <c r="R8" s="9"/>
      <c r="S8" s="9"/>
      <c r="V8" s="9" t="s">
        <v>180</v>
      </c>
    </row>
    <row r="9" spans="1:26" x14ac:dyDescent="0.2">
      <c r="A9" s="9"/>
      <c r="B9" s="9"/>
      <c r="C9" s="9"/>
      <c r="D9" s="9"/>
      <c r="E9" s="9"/>
      <c r="O9" s="9"/>
      <c r="P9" s="9"/>
      <c r="Q9" s="9"/>
      <c r="R9" s="9"/>
      <c r="S9" s="9"/>
    </row>
    <row r="10" spans="1:26" x14ac:dyDescent="0.2">
      <c r="A10" s="9"/>
      <c r="B10" s="9"/>
      <c r="C10" s="9"/>
      <c r="D10" s="9"/>
      <c r="E10" s="9"/>
      <c r="O10" s="9"/>
      <c r="P10" s="9"/>
      <c r="Q10" s="9"/>
      <c r="R10" s="9"/>
      <c r="S10" s="9"/>
    </row>
    <row r="11" spans="1:26" ht="15.75" customHeight="1" x14ac:dyDescent="0.2">
      <c r="B11" s="9"/>
      <c r="C11" s="526" t="s">
        <v>1</v>
      </c>
      <c r="D11" s="526"/>
      <c r="E11" s="9"/>
      <c r="F11" s="9"/>
      <c r="G11" s="9"/>
      <c r="H11" s="9"/>
      <c r="I11" s="526" t="s">
        <v>1</v>
      </c>
      <c r="J11" s="526"/>
      <c r="K11" s="526"/>
      <c r="P11" s="9"/>
      <c r="Q11" s="526" t="s">
        <v>1</v>
      </c>
      <c r="R11" s="526"/>
      <c r="S11" s="9"/>
      <c r="T11" s="9"/>
      <c r="U11" s="9"/>
      <c r="V11" s="9"/>
      <c r="W11" s="526" t="s">
        <v>1</v>
      </c>
      <c r="X11" s="526"/>
      <c r="Y11" s="526"/>
    </row>
    <row r="12" spans="1:26" x14ac:dyDescent="0.2">
      <c r="B12" s="59" t="s">
        <v>658</v>
      </c>
      <c r="C12" s="69" t="s">
        <v>791</v>
      </c>
      <c r="D12" s="69" t="s">
        <v>792</v>
      </c>
      <c r="E12" s="247"/>
      <c r="F12" s="110"/>
      <c r="G12" s="9"/>
      <c r="H12" s="59" t="s">
        <v>658</v>
      </c>
      <c r="I12" s="69" t="s">
        <v>793</v>
      </c>
      <c r="J12" s="69" t="s">
        <v>794</v>
      </c>
      <c r="K12" s="175" t="s">
        <v>336</v>
      </c>
      <c r="L12" s="110"/>
      <c r="M12" s="166"/>
      <c r="N12" s="166"/>
      <c r="P12" s="59" t="s">
        <v>662</v>
      </c>
      <c r="Q12" s="69" t="s">
        <v>791</v>
      </c>
      <c r="R12" s="69" t="s">
        <v>792</v>
      </c>
      <c r="S12" s="249"/>
      <c r="T12" s="110"/>
      <c r="U12" s="48"/>
      <c r="V12" s="59" t="s">
        <v>662</v>
      </c>
      <c r="W12" s="69" t="s">
        <v>793</v>
      </c>
      <c r="X12" s="69" t="s">
        <v>794</v>
      </c>
      <c r="Y12" s="175" t="s">
        <v>336</v>
      </c>
      <c r="Z12" s="110"/>
    </row>
    <row r="13" spans="1:26" x14ac:dyDescent="0.2">
      <c r="B13" s="449" t="s">
        <v>32</v>
      </c>
      <c r="C13" s="55">
        <f>I13/K13*100</f>
        <v>11.111111111111111</v>
      </c>
      <c r="D13" s="55">
        <f>J13/K13*100</f>
        <v>1.5873015873015872</v>
      </c>
      <c r="E13" s="64"/>
      <c r="F13" s="64"/>
      <c r="G13" s="9"/>
      <c r="H13" s="449" t="s">
        <v>32</v>
      </c>
      <c r="I13" s="17">
        <v>7</v>
      </c>
      <c r="J13" s="17">
        <v>1</v>
      </c>
      <c r="K13" s="17">
        <v>63</v>
      </c>
      <c r="L13" s="64"/>
      <c r="M13" s="166"/>
      <c r="N13" s="166"/>
      <c r="P13" s="449" t="s">
        <v>32</v>
      </c>
      <c r="Q13" s="62">
        <f>W13/Y13*100</f>
        <v>10.37037037037037</v>
      </c>
      <c r="R13" s="62">
        <f>X13/Y13*100</f>
        <v>1.4814814814814816</v>
      </c>
      <c r="S13" s="65"/>
      <c r="T13" s="65"/>
      <c r="U13" s="48"/>
      <c r="V13" s="449" t="s">
        <v>32</v>
      </c>
      <c r="W13" s="94">
        <v>14</v>
      </c>
      <c r="X13" s="94">
        <v>2</v>
      </c>
      <c r="Y13" s="94">
        <v>135</v>
      </c>
      <c r="Z13" s="64"/>
    </row>
    <row r="14" spans="1:26" x14ac:dyDescent="0.2">
      <c r="B14" s="449" t="s">
        <v>33</v>
      </c>
      <c r="C14" s="55">
        <f t="shared" ref="C14:C19" si="0">I14/K14*100</f>
        <v>9.8039215686274517</v>
      </c>
      <c r="D14" s="55">
        <f t="shared" ref="D14:D19" si="1">J14/K14*100</f>
        <v>1.9607843137254901</v>
      </c>
      <c r="E14" s="64"/>
      <c r="F14" s="64"/>
      <c r="G14" s="9"/>
      <c r="H14" s="449" t="s">
        <v>33</v>
      </c>
      <c r="I14" s="17">
        <v>5</v>
      </c>
      <c r="J14" s="17">
        <v>1</v>
      </c>
      <c r="K14" s="17">
        <v>51</v>
      </c>
      <c r="L14" s="64"/>
      <c r="M14" s="166"/>
      <c r="N14" s="166"/>
      <c r="P14" s="449" t="s">
        <v>33</v>
      </c>
      <c r="Q14" s="62">
        <f t="shared" ref="Q14:Q19" si="2">W14/Y14*100</f>
        <v>10.526315789473683</v>
      </c>
      <c r="R14" s="62">
        <f t="shared" ref="R14:R19" si="3">X14/Y14*100</f>
        <v>3.9473684210526314</v>
      </c>
      <c r="S14" s="65"/>
      <c r="T14" s="65"/>
      <c r="U14" s="48"/>
      <c r="V14" s="449" t="s">
        <v>33</v>
      </c>
      <c r="W14" s="94">
        <v>8</v>
      </c>
      <c r="X14" s="94">
        <v>3</v>
      </c>
      <c r="Y14" s="94">
        <v>76</v>
      </c>
      <c r="Z14" s="64"/>
    </row>
    <row r="15" spans="1:26" x14ac:dyDescent="0.2">
      <c r="B15" s="449" t="s">
        <v>34</v>
      </c>
      <c r="C15" s="55">
        <f t="shared" si="0"/>
        <v>11.428571428571429</v>
      </c>
      <c r="D15" s="55">
        <f t="shared" si="1"/>
        <v>2.8571428571428572</v>
      </c>
      <c r="E15" s="64"/>
      <c r="F15" s="64"/>
      <c r="G15" s="9"/>
      <c r="H15" s="449" t="s">
        <v>34</v>
      </c>
      <c r="I15" s="17">
        <v>4</v>
      </c>
      <c r="J15" s="17">
        <v>1</v>
      </c>
      <c r="K15" s="17">
        <v>35</v>
      </c>
      <c r="L15" s="64"/>
      <c r="M15" s="166"/>
      <c r="N15" s="166"/>
      <c r="P15" s="449" t="s">
        <v>34</v>
      </c>
      <c r="Q15" s="62">
        <f t="shared" si="2"/>
        <v>16.949152542372879</v>
      </c>
      <c r="R15" s="62">
        <f t="shared" si="3"/>
        <v>3.3898305084745761</v>
      </c>
      <c r="S15" s="65"/>
      <c r="T15" s="65"/>
      <c r="U15" s="48"/>
      <c r="V15" s="449" t="s">
        <v>34</v>
      </c>
      <c r="W15" s="94">
        <v>10</v>
      </c>
      <c r="X15" s="94">
        <v>2</v>
      </c>
      <c r="Y15" s="94">
        <v>59</v>
      </c>
      <c r="Z15" s="64"/>
    </row>
    <row r="16" spans="1:26" x14ac:dyDescent="0.2">
      <c r="B16" s="449" t="s">
        <v>35</v>
      </c>
      <c r="C16" s="55">
        <f t="shared" si="0"/>
        <v>9.4827586206896548</v>
      </c>
      <c r="D16" s="55">
        <f t="shared" si="1"/>
        <v>2.5862068965517242</v>
      </c>
      <c r="E16" s="64"/>
      <c r="F16" s="9"/>
      <c r="G16" s="9"/>
      <c r="H16" s="449" t="s">
        <v>35</v>
      </c>
      <c r="I16" s="17">
        <v>11</v>
      </c>
      <c r="J16" s="17">
        <v>3</v>
      </c>
      <c r="K16" s="17">
        <v>116</v>
      </c>
      <c r="L16" s="64"/>
      <c r="M16" s="166"/>
      <c r="N16" s="166"/>
      <c r="P16" s="449" t="s">
        <v>35</v>
      </c>
      <c r="Q16" s="62">
        <f t="shared" si="2"/>
        <v>9.5744680851063837</v>
      </c>
      <c r="R16" s="62">
        <f t="shared" si="3"/>
        <v>0</v>
      </c>
      <c r="S16" s="65"/>
      <c r="T16" s="48"/>
      <c r="U16" s="48"/>
      <c r="V16" s="449" t="s">
        <v>35</v>
      </c>
      <c r="W16" s="94">
        <v>9</v>
      </c>
      <c r="X16" s="94">
        <v>0</v>
      </c>
      <c r="Y16" s="94">
        <v>94</v>
      </c>
      <c r="Z16" s="68"/>
    </row>
    <row r="17" spans="2:26" x14ac:dyDescent="0.2">
      <c r="B17" s="449" t="s">
        <v>81</v>
      </c>
      <c r="C17" s="55">
        <f t="shared" si="0"/>
        <v>11.538461538461538</v>
      </c>
      <c r="D17" s="55">
        <f t="shared" si="1"/>
        <v>2.5641025641025639</v>
      </c>
      <c r="E17" s="64"/>
      <c r="F17" s="9"/>
      <c r="G17" s="9"/>
      <c r="H17" s="449" t="s">
        <v>81</v>
      </c>
      <c r="I17" s="17">
        <v>9</v>
      </c>
      <c r="J17" s="17">
        <v>2</v>
      </c>
      <c r="K17" s="17">
        <v>78</v>
      </c>
      <c r="L17" s="64"/>
      <c r="M17" s="166"/>
      <c r="N17" s="166"/>
      <c r="P17" s="449" t="s">
        <v>81</v>
      </c>
      <c r="Q17" s="62">
        <f t="shared" si="2"/>
        <v>9.5238095238095237</v>
      </c>
      <c r="R17" s="62">
        <f t="shared" si="3"/>
        <v>3.1746031746031744</v>
      </c>
      <c r="S17" s="65"/>
      <c r="T17" s="48"/>
      <c r="U17" s="48"/>
      <c r="V17" s="449" t="s">
        <v>81</v>
      </c>
      <c r="W17" s="94">
        <v>12</v>
      </c>
      <c r="X17" s="94">
        <v>4</v>
      </c>
      <c r="Y17" s="94">
        <v>126</v>
      </c>
      <c r="Z17" s="68"/>
    </row>
    <row r="18" spans="2:26" x14ac:dyDescent="0.2">
      <c r="B18" s="449" t="s">
        <v>169</v>
      </c>
      <c r="C18" s="55">
        <f t="shared" si="0"/>
        <v>9.8039215686274517</v>
      </c>
      <c r="D18" s="55">
        <f t="shared" si="1"/>
        <v>1.9607843137254901</v>
      </c>
      <c r="E18" s="64"/>
      <c r="F18" s="9"/>
      <c r="G18" s="9"/>
      <c r="H18" s="449" t="s">
        <v>169</v>
      </c>
      <c r="I18" s="17">
        <v>5</v>
      </c>
      <c r="J18" s="17">
        <v>1</v>
      </c>
      <c r="K18" s="17">
        <v>51</v>
      </c>
      <c r="L18" s="244"/>
      <c r="P18" s="449" t="s">
        <v>169</v>
      </c>
      <c r="Q18" s="62">
        <f t="shared" si="2"/>
        <v>10.227272727272728</v>
      </c>
      <c r="R18" s="62">
        <f t="shared" si="3"/>
        <v>2.2727272727272729</v>
      </c>
      <c r="S18" s="65"/>
      <c r="T18" s="48"/>
      <c r="U18" s="48"/>
      <c r="V18" s="449" t="s">
        <v>169</v>
      </c>
      <c r="W18" s="94">
        <v>9</v>
      </c>
      <c r="X18" s="94">
        <v>2</v>
      </c>
      <c r="Y18" s="94">
        <v>88</v>
      </c>
      <c r="Z18" s="244"/>
    </row>
    <row r="19" spans="2:26" x14ac:dyDescent="0.2">
      <c r="B19" s="449" t="s">
        <v>170</v>
      </c>
      <c r="C19" s="55">
        <f t="shared" si="0"/>
        <v>8.9552238805970141</v>
      </c>
      <c r="D19" s="55">
        <f t="shared" si="1"/>
        <v>0</v>
      </c>
      <c r="E19" s="64"/>
      <c r="F19" s="9"/>
      <c r="G19" s="9"/>
      <c r="H19" s="449" t="s">
        <v>170</v>
      </c>
      <c r="I19" s="17">
        <v>12</v>
      </c>
      <c r="J19" s="17">
        <v>0</v>
      </c>
      <c r="K19" s="17">
        <v>134</v>
      </c>
      <c r="L19" s="68"/>
      <c r="P19" s="449" t="s">
        <v>170</v>
      </c>
      <c r="Q19" s="62">
        <f t="shared" si="2"/>
        <v>5.2631578947368416</v>
      </c>
      <c r="R19" s="62">
        <f t="shared" si="3"/>
        <v>1.0526315789473684</v>
      </c>
      <c r="S19" s="65"/>
      <c r="T19" s="48"/>
      <c r="U19" s="48"/>
      <c r="V19" s="449" t="s">
        <v>170</v>
      </c>
      <c r="W19" s="94">
        <v>5</v>
      </c>
      <c r="X19" s="94">
        <v>1</v>
      </c>
      <c r="Y19" s="94">
        <v>95</v>
      </c>
      <c r="Z19" s="68"/>
    </row>
    <row r="20" spans="2:26" x14ac:dyDescent="0.2">
      <c r="B20" s="9"/>
      <c r="C20" s="248"/>
      <c r="D20" s="248"/>
      <c r="E20" s="249"/>
      <c r="F20" s="248"/>
      <c r="G20" s="9"/>
      <c r="H20" s="9"/>
      <c r="I20" s="9"/>
      <c r="J20" s="9"/>
      <c r="K20" s="9"/>
      <c r="P20" s="9"/>
      <c r="Q20" s="248"/>
      <c r="R20" s="248"/>
      <c r="S20" s="249"/>
      <c r="T20" s="248"/>
      <c r="U20" s="48"/>
      <c r="V20" s="48"/>
      <c r="W20" s="48"/>
      <c r="X20" s="48"/>
      <c r="Y20" s="48"/>
    </row>
    <row r="21" spans="2:26" x14ac:dyDescent="0.2">
      <c r="B21" s="9"/>
      <c r="C21" s="9"/>
      <c r="D21" s="9"/>
      <c r="E21" s="68"/>
      <c r="F21" s="9"/>
      <c r="G21" s="9"/>
      <c r="H21" s="9"/>
      <c r="I21" s="9"/>
      <c r="J21" s="9"/>
      <c r="K21" s="9"/>
      <c r="P21" s="9"/>
      <c r="Q21" s="48"/>
      <c r="R21" s="48"/>
      <c r="S21" s="232"/>
      <c r="T21" s="48"/>
      <c r="U21" s="48"/>
      <c r="V21" s="48"/>
      <c r="W21" s="48"/>
      <c r="X21" s="48"/>
      <c r="Y21" s="48"/>
    </row>
    <row r="22" spans="2:26" x14ac:dyDescent="0.2">
      <c r="B22" s="63"/>
      <c r="C22" s="525" t="s">
        <v>2</v>
      </c>
      <c r="D22" s="525"/>
      <c r="E22" s="68"/>
      <c r="F22" s="9"/>
      <c r="G22" s="9"/>
      <c r="H22" s="9"/>
      <c r="I22" s="525" t="s">
        <v>2</v>
      </c>
      <c r="J22" s="525"/>
      <c r="K22" s="525"/>
      <c r="P22" s="63"/>
      <c r="Q22" s="525" t="s">
        <v>2</v>
      </c>
      <c r="R22" s="525"/>
      <c r="S22" s="232"/>
      <c r="T22" s="48"/>
      <c r="U22" s="48"/>
      <c r="V22" s="48"/>
      <c r="W22" s="525" t="s">
        <v>2</v>
      </c>
      <c r="X22" s="525"/>
      <c r="Y22" s="525"/>
    </row>
    <row r="23" spans="2:26" x14ac:dyDescent="0.2">
      <c r="B23" s="59" t="s">
        <v>658</v>
      </c>
      <c r="C23" s="69" t="s">
        <v>791</v>
      </c>
      <c r="D23" s="69" t="s">
        <v>792</v>
      </c>
      <c r="E23" s="247"/>
      <c r="F23" s="110"/>
      <c r="G23" s="9"/>
      <c r="H23" s="59" t="s">
        <v>658</v>
      </c>
      <c r="I23" s="69" t="s">
        <v>793</v>
      </c>
      <c r="J23" s="69" t="s">
        <v>794</v>
      </c>
      <c r="K23" s="175" t="s">
        <v>336</v>
      </c>
      <c r="L23" s="110"/>
      <c r="P23" s="59" t="s">
        <v>662</v>
      </c>
      <c r="Q23" s="69" t="s">
        <v>791</v>
      </c>
      <c r="R23" s="69" t="s">
        <v>792</v>
      </c>
      <c r="S23" s="249"/>
      <c r="T23" s="110"/>
      <c r="U23" s="48"/>
      <c r="V23" s="59" t="s">
        <v>662</v>
      </c>
      <c r="W23" s="69" t="s">
        <v>793</v>
      </c>
      <c r="X23" s="69" t="s">
        <v>794</v>
      </c>
      <c r="Y23" s="175" t="s">
        <v>336</v>
      </c>
      <c r="Z23" s="110"/>
    </row>
    <row r="24" spans="2:26" x14ac:dyDescent="0.2">
      <c r="B24" s="449" t="s">
        <v>32</v>
      </c>
      <c r="C24" s="55">
        <f>I24/K24*100</f>
        <v>18.656716417910449</v>
      </c>
      <c r="D24" s="55">
        <f>J24/K24*100</f>
        <v>22.388059701492537</v>
      </c>
      <c r="E24" s="64"/>
      <c r="F24" s="64"/>
      <c r="G24" s="9"/>
      <c r="H24" s="449" t="s">
        <v>32</v>
      </c>
      <c r="I24" s="17">
        <v>25</v>
      </c>
      <c r="J24" s="17">
        <v>30</v>
      </c>
      <c r="K24" s="17">
        <v>134</v>
      </c>
      <c r="L24" s="64"/>
      <c r="P24" s="449" t="s">
        <v>32</v>
      </c>
      <c r="Q24" s="62">
        <f>W24/Y24*100</f>
        <v>9.5238095238095237</v>
      </c>
      <c r="R24" s="62">
        <f>X24/Y24*100</f>
        <v>37.301587301587304</v>
      </c>
      <c r="S24" s="65"/>
      <c r="T24" s="65"/>
      <c r="U24" s="48"/>
      <c r="V24" s="449" t="s">
        <v>32</v>
      </c>
      <c r="W24" s="94">
        <v>12</v>
      </c>
      <c r="X24" s="94">
        <v>47</v>
      </c>
      <c r="Y24" s="94">
        <v>126</v>
      </c>
      <c r="Z24" s="64"/>
    </row>
    <row r="25" spans="2:26" x14ac:dyDescent="0.2">
      <c r="B25" s="449" t="s">
        <v>33</v>
      </c>
      <c r="C25" s="55">
        <f t="shared" ref="C25:C30" si="4">I25/K25*100</f>
        <v>27.659574468085108</v>
      </c>
      <c r="D25" s="55">
        <f t="shared" ref="D25:D30" si="5">J25/K25*100</f>
        <v>19.148936170212767</v>
      </c>
      <c r="E25" s="64"/>
      <c r="F25" s="64"/>
      <c r="G25" s="9"/>
      <c r="H25" s="449" t="s">
        <v>33</v>
      </c>
      <c r="I25" s="17">
        <v>26</v>
      </c>
      <c r="J25" s="17">
        <v>18</v>
      </c>
      <c r="K25" s="17">
        <v>94</v>
      </c>
      <c r="L25" s="64"/>
      <c r="P25" s="449" t="s">
        <v>33</v>
      </c>
      <c r="Q25" s="62">
        <f t="shared" ref="Q25:Q30" si="6">W25/Y25*100</f>
        <v>15.841584158415841</v>
      </c>
      <c r="R25" s="62">
        <f t="shared" ref="R25:R30" si="7">X25/Y25*100</f>
        <v>27.722772277227726</v>
      </c>
      <c r="S25" s="65"/>
      <c r="T25" s="65"/>
      <c r="U25" s="48"/>
      <c r="V25" s="449" t="s">
        <v>33</v>
      </c>
      <c r="W25" s="94">
        <v>16</v>
      </c>
      <c r="X25" s="94">
        <v>28</v>
      </c>
      <c r="Y25" s="94">
        <v>101</v>
      </c>
      <c r="Z25" s="64"/>
    </row>
    <row r="26" spans="2:26" x14ac:dyDescent="0.2">
      <c r="B26" s="449" t="s">
        <v>34</v>
      </c>
      <c r="C26" s="55">
        <f t="shared" si="4"/>
        <v>23.188405797101449</v>
      </c>
      <c r="D26" s="55">
        <f t="shared" si="5"/>
        <v>26.086956521739129</v>
      </c>
      <c r="E26" s="64"/>
      <c r="F26" s="64"/>
      <c r="G26" s="9"/>
      <c r="H26" s="449" t="s">
        <v>34</v>
      </c>
      <c r="I26" s="17">
        <v>16</v>
      </c>
      <c r="J26" s="17">
        <v>18</v>
      </c>
      <c r="K26" s="17">
        <v>69</v>
      </c>
      <c r="L26" s="64"/>
      <c r="P26" s="449" t="s">
        <v>34</v>
      </c>
      <c r="Q26" s="62">
        <f t="shared" si="6"/>
        <v>8.6206896551724146</v>
      </c>
      <c r="R26" s="62">
        <f t="shared" si="7"/>
        <v>20.689655172413794</v>
      </c>
      <c r="S26" s="65"/>
      <c r="T26" s="65"/>
      <c r="U26" s="48"/>
      <c r="V26" s="449" t="s">
        <v>34</v>
      </c>
      <c r="W26" s="94">
        <v>5</v>
      </c>
      <c r="X26" s="94">
        <v>12</v>
      </c>
      <c r="Y26" s="94">
        <v>58</v>
      </c>
      <c r="Z26" s="64"/>
    </row>
    <row r="27" spans="2:26" x14ac:dyDescent="0.2">
      <c r="B27" s="449" t="s">
        <v>35</v>
      </c>
      <c r="C27" s="55">
        <f t="shared" si="4"/>
        <v>19.801980198019802</v>
      </c>
      <c r="D27" s="55">
        <f t="shared" si="5"/>
        <v>17.82178217821782</v>
      </c>
      <c r="E27" s="64"/>
      <c r="F27" s="9"/>
      <c r="G27" s="9"/>
      <c r="H27" s="449" t="s">
        <v>35</v>
      </c>
      <c r="I27" s="17">
        <v>20</v>
      </c>
      <c r="J27" s="17">
        <v>18</v>
      </c>
      <c r="K27" s="17">
        <v>101</v>
      </c>
      <c r="L27" s="68"/>
      <c r="P27" s="449" t="s">
        <v>35</v>
      </c>
      <c r="Q27" s="62">
        <f t="shared" si="6"/>
        <v>8.3333333333333321</v>
      </c>
      <c r="R27" s="62">
        <f t="shared" si="7"/>
        <v>23.958333333333336</v>
      </c>
      <c r="S27" s="65"/>
      <c r="T27" s="48"/>
      <c r="U27" s="48"/>
      <c r="V27" s="449" t="s">
        <v>35</v>
      </c>
      <c r="W27" s="94">
        <v>8</v>
      </c>
      <c r="X27" s="94">
        <v>23</v>
      </c>
      <c r="Y27" s="94">
        <v>96</v>
      </c>
      <c r="Z27" s="68"/>
    </row>
    <row r="28" spans="2:26" x14ac:dyDescent="0.2">
      <c r="B28" s="449" t="s">
        <v>81</v>
      </c>
      <c r="C28" s="55">
        <f t="shared" si="4"/>
        <v>27.083333333333332</v>
      </c>
      <c r="D28" s="55">
        <f t="shared" si="5"/>
        <v>18.75</v>
      </c>
      <c r="E28" s="64"/>
      <c r="F28" s="9"/>
      <c r="G28" s="9"/>
      <c r="H28" s="449" t="s">
        <v>81</v>
      </c>
      <c r="I28" s="17">
        <v>26</v>
      </c>
      <c r="J28" s="17">
        <v>18</v>
      </c>
      <c r="K28" s="17">
        <v>96</v>
      </c>
      <c r="L28" s="68"/>
      <c r="P28" s="449" t="s">
        <v>81</v>
      </c>
      <c r="Q28" s="62">
        <f t="shared" si="6"/>
        <v>8.1081081081081088</v>
      </c>
      <c r="R28" s="62">
        <f t="shared" si="7"/>
        <v>17.117117117117118</v>
      </c>
      <c r="S28" s="65"/>
      <c r="T28" s="48"/>
      <c r="U28" s="48"/>
      <c r="V28" s="449" t="s">
        <v>81</v>
      </c>
      <c r="W28" s="94">
        <v>9</v>
      </c>
      <c r="X28" s="94">
        <v>19</v>
      </c>
      <c r="Y28" s="94">
        <v>111</v>
      </c>
      <c r="Z28" s="68"/>
    </row>
    <row r="29" spans="2:26" x14ac:dyDescent="0.2">
      <c r="B29" s="449" t="s">
        <v>169</v>
      </c>
      <c r="C29" s="55">
        <f t="shared" si="4"/>
        <v>19.230769230769234</v>
      </c>
      <c r="D29" s="55">
        <f t="shared" si="5"/>
        <v>17.948717948717949</v>
      </c>
      <c r="E29" s="64"/>
      <c r="F29" s="9"/>
      <c r="G29" s="9"/>
      <c r="H29" s="449" t="s">
        <v>169</v>
      </c>
      <c r="I29" s="17">
        <v>15</v>
      </c>
      <c r="J29" s="17">
        <v>14</v>
      </c>
      <c r="K29" s="17">
        <v>78</v>
      </c>
      <c r="L29" s="244"/>
      <c r="P29" s="449" t="s">
        <v>169</v>
      </c>
      <c r="Q29" s="62">
        <f t="shared" si="6"/>
        <v>5.4054054054054053</v>
      </c>
      <c r="R29" s="62">
        <f t="shared" si="7"/>
        <v>27.027027027027028</v>
      </c>
      <c r="S29" s="65"/>
      <c r="T29" s="48"/>
      <c r="U29" s="48"/>
      <c r="V29" s="449" t="s">
        <v>169</v>
      </c>
      <c r="W29" s="94">
        <v>4</v>
      </c>
      <c r="X29" s="94">
        <v>20</v>
      </c>
      <c r="Y29" s="94">
        <v>74</v>
      </c>
      <c r="Z29" s="244"/>
    </row>
    <row r="30" spans="2:26" x14ac:dyDescent="0.2">
      <c r="B30" s="449" t="s">
        <v>170</v>
      </c>
      <c r="C30" s="55">
        <f t="shared" si="4"/>
        <v>19.047619047619047</v>
      </c>
      <c r="D30" s="55">
        <f t="shared" si="5"/>
        <v>26.190476190476193</v>
      </c>
      <c r="E30" s="64"/>
      <c r="F30" s="9"/>
      <c r="G30" s="9"/>
      <c r="H30" s="449" t="s">
        <v>170</v>
      </c>
      <c r="I30" s="17">
        <v>24</v>
      </c>
      <c r="J30" s="17">
        <v>33</v>
      </c>
      <c r="K30" s="17">
        <v>126</v>
      </c>
      <c r="L30" s="68"/>
      <c r="P30" s="449" t="s">
        <v>170</v>
      </c>
      <c r="Q30" s="62">
        <f t="shared" si="6"/>
        <v>8.6206896551724146</v>
      </c>
      <c r="R30" s="62">
        <f t="shared" si="7"/>
        <v>12.068965517241379</v>
      </c>
      <c r="S30" s="65"/>
      <c r="T30" s="48"/>
      <c r="U30" s="48"/>
      <c r="V30" s="449" t="s">
        <v>170</v>
      </c>
      <c r="W30" s="94">
        <v>10</v>
      </c>
      <c r="X30" s="94">
        <v>14</v>
      </c>
      <c r="Y30" s="94">
        <v>116</v>
      </c>
      <c r="Z30" s="68"/>
    </row>
    <row r="31" spans="2:26" x14ac:dyDescent="0.2">
      <c r="B31" s="9"/>
      <c r="C31" s="9"/>
      <c r="D31" s="9"/>
      <c r="E31" s="68"/>
      <c r="F31" s="9"/>
      <c r="G31" s="9"/>
      <c r="H31" s="9"/>
      <c r="I31" s="9"/>
      <c r="J31" s="9"/>
      <c r="K31" s="9"/>
      <c r="P31" s="9"/>
      <c r="Q31" s="48"/>
      <c r="R31" s="48"/>
      <c r="S31" s="232"/>
      <c r="T31" s="48"/>
      <c r="U31" s="48"/>
      <c r="V31" s="48"/>
      <c r="W31" s="48"/>
      <c r="X31" s="48"/>
      <c r="Y31" s="48"/>
    </row>
    <row r="32" spans="2:26" x14ac:dyDescent="0.2">
      <c r="B32" s="9"/>
      <c r="C32" s="9"/>
      <c r="D32" s="9"/>
      <c r="E32" s="68"/>
      <c r="F32" s="9"/>
      <c r="G32" s="9"/>
      <c r="H32" s="9"/>
      <c r="I32" s="9"/>
      <c r="J32" s="9"/>
      <c r="K32" s="9"/>
      <c r="P32" s="9"/>
      <c r="Q32" s="48"/>
      <c r="R32" s="48"/>
      <c r="S32" s="232"/>
      <c r="T32" s="48"/>
      <c r="U32" s="48"/>
      <c r="V32" s="48"/>
      <c r="W32" s="48"/>
      <c r="X32" s="48"/>
      <c r="Y32" s="48"/>
    </row>
    <row r="33" spans="2:26" x14ac:dyDescent="0.2">
      <c r="B33" s="63"/>
      <c r="C33" s="525" t="s">
        <v>3</v>
      </c>
      <c r="D33" s="525"/>
      <c r="E33" s="68"/>
      <c r="F33" s="9"/>
      <c r="G33" s="9"/>
      <c r="H33" s="9"/>
      <c r="I33" s="525" t="s">
        <v>3</v>
      </c>
      <c r="J33" s="525"/>
      <c r="K33" s="525"/>
      <c r="P33" s="63"/>
      <c r="Q33" s="525" t="s">
        <v>3</v>
      </c>
      <c r="R33" s="525"/>
      <c r="S33" s="232"/>
      <c r="T33" s="48"/>
      <c r="U33" s="48"/>
      <c r="V33" s="48"/>
      <c r="W33" s="525" t="s">
        <v>3</v>
      </c>
      <c r="X33" s="525"/>
      <c r="Y33" s="525"/>
    </row>
    <row r="34" spans="2:26" x14ac:dyDescent="0.2">
      <c r="B34" s="59" t="s">
        <v>658</v>
      </c>
      <c r="C34" s="69" t="s">
        <v>791</v>
      </c>
      <c r="D34" s="69" t="s">
        <v>792</v>
      </c>
      <c r="E34" s="247"/>
      <c r="F34" s="110"/>
      <c r="G34" s="9"/>
      <c r="H34" s="59" t="s">
        <v>713</v>
      </c>
      <c r="I34" s="69" t="s">
        <v>793</v>
      </c>
      <c r="J34" s="69" t="s">
        <v>794</v>
      </c>
      <c r="K34" s="175" t="s">
        <v>336</v>
      </c>
      <c r="L34" s="110"/>
      <c r="P34" s="59" t="s">
        <v>662</v>
      </c>
      <c r="Q34" s="69" t="s">
        <v>791</v>
      </c>
      <c r="R34" s="69" t="s">
        <v>792</v>
      </c>
      <c r="S34" s="249"/>
      <c r="T34" s="110"/>
      <c r="U34" s="48"/>
      <c r="V34" s="59" t="s">
        <v>662</v>
      </c>
      <c r="W34" s="69" t="s">
        <v>793</v>
      </c>
      <c r="X34" s="69" t="s">
        <v>794</v>
      </c>
      <c r="Y34" s="175" t="s">
        <v>336</v>
      </c>
      <c r="Z34" s="110"/>
    </row>
    <row r="35" spans="2:26" x14ac:dyDescent="0.2">
      <c r="B35" s="449" t="s">
        <v>32</v>
      </c>
      <c r="C35" s="55">
        <f>I35/K35*100</f>
        <v>6.8965517241379306</v>
      </c>
      <c r="D35" s="55">
        <f>J35/K35*100</f>
        <v>24.137931034482758</v>
      </c>
      <c r="E35" s="64"/>
      <c r="F35" s="64"/>
      <c r="G35" s="9"/>
      <c r="H35" s="449" t="s">
        <v>32</v>
      </c>
      <c r="I35" s="17">
        <v>10</v>
      </c>
      <c r="J35" s="17">
        <v>35</v>
      </c>
      <c r="K35" s="17">
        <v>145</v>
      </c>
      <c r="L35" s="64"/>
      <c r="P35" s="449" t="s">
        <v>32</v>
      </c>
      <c r="Q35" s="62">
        <f>W35/Y35*100</f>
        <v>5.6179775280898872</v>
      </c>
      <c r="R35" s="62">
        <f>X35/Y35*100</f>
        <v>24.719101123595504</v>
      </c>
      <c r="S35" s="65"/>
      <c r="T35" s="65"/>
      <c r="U35" s="48"/>
      <c r="V35" s="449" t="s">
        <v>32</v>
      </c>
      <c r="W35" s="94">
        <v>5</v>
      </c>
      <c r="X35" s="94">
        <v>22</v>
      </c>
      <c r="Y35" s="94">
        <v>89</v>
      </c>
      <c r="Z35" s="64"/>
    </row>
    <row r="36" spans="2:26" x14ac:dyDescent="0.2">
      <c r="B36" s="449" t="s">
        <v>33</v>
      </c>
      <c r="C36" s="55">
        <f>I36/K36*100</f>
        <v>18.072289156626507</v>
      </c>
      <c r="D36" s="55">
        <f>J36/K36*100</f>
        <v>14.457831325301203</v>
      </c>
      <c r="E36" s="64"/>
      <c r="F36" s="64"/>
      <c r="G36" s="9"/>
      <c r="H36" s="449" t="s">
        <v>33</v>
      </c>
      <c r="I36" s="17">
        <v>15</v>
      </c>
      <c r="J36" s="17">
        <v>12</v>
      </c>
      <c r="K36" s="17">
        <v>83</v>
      </c>
      <c r="L36" s="64"/>
      <c r="P36" s="449" t="s">
        <v>33</v>
      </c>
      <c r="Q36" s="62">
        <f>W36/Y36*100</f>
        <v>7.2289156626506017</v>
      </c>
      <c r="R36" s="62">
        <f>X36/Y36*100</f>
        <v>21.686746987951807</v>
      </c>
      <c r="S36" s="65"/>
      <c r="T36" s="65"/>
      <c r="U36" s="48"/>
      <c r="V36" s="449" t="s">
        <v>33</v>
      </c>
      <c r="W36" s="94">
        <v>6</v>
      </c>
      <c r="X36" s="94">
        <v>18</v>
      </c>
      <c r="Y36" s="94">
        <v>83</v>
      </c>
      <c r="Z36" s="64"/>
    </row>
    <row r="37" spans="2:26" x14ac:dyDescent="0.2">
      <c r="B37" s="449" t="s">
        <v>34</v>
      </c>
      <c r="C37" s="55">
        <f>I37/K37*100</f>
        <v>12.820512820512819</v>
      </c>
      <c r="D37" s="55">
        <f>J37/K37*100</f>
        <v>7.6923076923076925</v>
      </c>
      <c r="E37" s="64"/>
      <c r="F37" s="64"/>
      <c r="G37" s="9"/>
      <c r="H37" s="449" t="s">
        <v>34</v>
      </c>
      <c r="I37" s="17">
        <v>10</v>
      </c>
      <c r="J37" s="17">
        <v>6</v>
      </c>
      <c r="K37" s="17">
        <v>78</v>
      </c>
      <c r="L37" s="64"/>
      <c r="P37" s="449" t="s">
        <v>34</v>
      </c>
      <c r="Q37" s="62">
        <f>W37/Y37*100</f>
        <v>6.4102564102564097</v>
      </c>
      <c r="R37" s="62">
        <f>X37/Y37*100</f>
        <v>30.76923076923077</v>
      </c>
      <c r="S37" s="65"/>
      <c r="T37" s="65"/>
      <c r="U37" s="48"/>
      <c r="V37" s="449" t="s">
        <v>34</v>
      </c>
      <c r="W37" s="94">
        <v>5</v>
      </c>
      <c r="X37" s="94">
        <v>24</v>
      </c>
      <c r="Y37" s="94">
        <v>78</v>
      </c>
      <c r="Z37" s="64"/>
    </row>
    <row r="38" spans="2:26" x14ac:dyDescent="0.2">
      <c r="B38" s="449" t="s">
        <v>35</v>
      </c>
      <c r="C38" s="55">
        <f>I38/K38*100</f>
        <v>10.606060606060606</v>
      </c>
      <c r="D38" s="55">
        <f>J38/K38*100</f>
        <v>16.666666666666664</v>
      </c>
      <c r="E38" s="64"/>
      <c r="F38" s="9"/>
      <c r="G38" s="9"/>
      <c r="H38" s="449" t="s">
        <v>35</v>
      </c>
      <c r="I38" s="17">
        <v>7</v>
      </c>
      <c r="J38" s="17">
        <v>11</v>
      </c>
      <c r="K38" s="17">
        <v>66</v>
      </c>
      <c r="L38" s="68"/>
      <c r="P38" s="449" t="s">
        <v>35</v>
      </c>
      <c r="Q38" s="62">
        <f>W38/Y38*100</f>
        <v>6.8965517241379306</v>
      </c>
      <c r="R38" s="62">
        <f>X38/Y38*100</f>
        <v>15.172413793103448</v>
      </c>
      <c r="S38" s="65"/>
      <c r="T38" s="48"/>
      <c r="U38" s="48"/>
      <c r="V38" s="449" t="s">
        <v>35</v>
      </c>
      <c r="W38" s="94">
        <v>10</v>
      </c>
      <c r="X38" s="94">
        <v>22</v>
      </c>
      <c r="Y38" s="94">
        <v>145</v>
      </c>
      <c r="Z38" s="68"/>
    </row>
    <row r="39" spans="2:26" x14ac:dyDescent="0.2">
      <c r="B39" s="449" t="s">
        <v>81</v>
      </c>
      <c r="C39" s="55">
        <f>I39/K39*100</f>
        <v>12.087912087912088</v>
      </c>
      <c r="D39" s="55">
        <f>J39/K39*100</f>
        <v>17.582417582417584</v>
      </c>
      <c r="E39" s="64"/>
      <c r="F39" s="9"/>
      <c r="G39" s="9"/>
      <c r="H39" s="449" t="s">
        <v>81</v>
      </c>
      <c r="I39" s="17">
        <v>11</v>
      </c>
      <c r="J39" s="17">
        <v>16</v>
      </c>
      <c r="K39" s="17">
        <v>91</v>
      </c>
      <c r="L39" s="68"/>
      <c r="P39" s="449" t="s">
        <v>81</v>
      </c>
      <c r="Q39" s="62">
        <f>W39/Y39*100</f>
        <v>13.186813186813188</v>
      </c>
      <c r="R39" s="62">
        <f>X39/Y39*100</f>
        <v>17.582417582417584</v>
      </c>
      <c r="S39" s="65"/>
      <c r="T39" s="48"/>
      <c r="U39" s="48"/>
      <c r="V39" s="449" t="s">
        <v>81</v>
      </c>
      <c r="W39" s="94">
        <v>12</v>
      </c>
      <c r="X39" s="94">
        <v>16</v>
      </c>
      <c r="Y39" s="94">
        <v>91</v>
      </c>
      <c r="Z39" s="68"/>
    </row>
    <row r="40" spans="2:26" x14ac:dyDescent="0.2">
      <c r="B40" s="9"/>
      <c r="C40" s="9"/>
      <c r="D40" s="9"/>
      <c r="E40" s="68"/>
      <c r="F40" s="9"/>
      <c r="G40" s="9"/>
      <c r="H40" s="451"/>
      <c r="I40" s="9"/>
      <c r="J40" s="9"/>
      <c r="K40" s="9"/>
      <c r="P40" s="9"/>
      <c r="Q40" s="48"/>
      <c r="R40" s="48"/>
      <c r="S40" s="232"/>
      <c r="T40" s="48"/>
      <c r="U40" s="48"/>
      <c r="V40" s="48"/>
      <c r="W40" s="48"/>
      <c r="X40" s="48"/>
      <c r="Y40" s="48"/>
    </row>
    <row r="41" spans="2:26" x14ac:dyDescent="0.2">
      <c r="B41" s="9"/>
      <c r="C41" s="9"/>
      <c r="D41" s="9"/>
      <c r="E41" s="68"/>
      <c r="F41" s="9"/>
      <c r="G41" s="9"/>
      <c r="H41" s="9"/>
      <c r="I41" s="9"/>
      <c r="J41" s="9"/>
      <c r="K41" s="9"/>
      <c r="P41" s="9"/>
      <c r="Q41" s="48"/>
      <c r="R41" s="48"/>
      <c r="S41" s="232"/>
      <c r="T41" s="48"/>
      <c r="U41" s="48"/>
      <c r="V41" s="48"/>
      <c r="W41" s="48"/>
      <c r="X41" s="48"/>
      <c r="Y41" s="48"/>
    </row>
    <row r="42" spans="2:26" x14ac:dyDescent="0.2">
      <c r="B42" s="63"/>
      <c r="C42" s="525" t="s">
        <v>4</v>
      </c>
      <c r="D42" s="525"/>
      <c r="E42" s="68"/>
      <c r="F42" s="9"/>
      <c r="G42" s="9"/>
      <c r="H42" s="9"/>
      <c r="I42" s="525" t="s">
        <v>4</v>
      </c>
      <c r="J42" s="525"/>
      <c r="K42" s="525"/>
      <c r="P42" s="63"/>
      <c r="Q42" s="525" t="s">
        <v>4</v>
      </c>
      <c r="R42" s="525"/>
      <c r="S42" s="232"/>
      <c r="T42" s="48"/>
      <c r="U42" s="48"/>
      <c r="V42" s="48"/>
      <c r="W42" s="525" t="s">
        <v>4</v>
      </c>
      <c r="X42" s="525"/>
      <c r="Y42" s="525"/>
    </row>
    <row r="43" spans="2:26" x14ac:dyDescent="0.2">
      <c r="B43" s="59" t="s">
        <v>658</v>
      </c>
      <c r="C43" s="69" t="s">
        <v>791</v>
      </c>
      <c r="D43" s="69" t="s">
        <v>792</v>
      </c>
      <c r="E43" s="247"/>
      <c r="F43" s="110"/>
      <c r="G43" s="9"/>
      <c r="H43" s="59" t="s">
        <v>658</v>
      </c>
      <c r="I43" s="69" t="s">
        <v>793</v>
      </c>
      <c r="J43" s="69" t="s">
        <v>794</v>
      </c>
      <c r="K43" s="175" t="s">
        <v>336</v>
      </c>
      <c r="L43" s="110"/>
      <c r="P43" s="59" t="s">
        <v>662</v>
      </c>
      <c r="Q43" s="69" t="s">
        <v>791</v>
      </c>
      <c r="R43" s="69" t="s">
        <v>792</v>
      </c>
      <c r="S43" s="249"/>
      <c r="T43" s="110"/>
      <c r="U43" s="48"/>
      <c r="V43" s="59" t="s">
        <v>662</v>
      </c>
      <c r="W43" s="69" t="s">
        <v>793</v>
      </c>
      <c r="X43" s="69" t="s">
        <v>794</v>
      </c>
      <c r="Y43" s="175" t="s">
        <v>336</v>
      </c>
      <c r="Z43" s="110"/>
    </row>
    <row r="44" spans="2:26" x14ac:dyDescent="0.2">
      <c r="B44" s="449" t="s">
        <v>32</v>
      </c>
      <c r="C44" s="55">
        <f>I44/K44*100</f>
        <v>15.24390243902439</v>
      </c>
      <c r="D44" s="55">
        <f>J44/K44*100</f>
        <v>21.341463414634145</v>
      </c>
      <c r="E44" s="64"/>
      <c r="F44" s="64"/>
      <c r="G44" s="9"/>
      <c r="H44" s="449" t="s">
        <v>32</v>
      </c>
      <c r="I44" s="17">
        <v>25</v>
      </c>
      <c r="J44" s="17">
        <v>35</v>
      </c>
      <c r="K44" s="17">
        <v>164</v>
      </c>
      <c r="P44" s="449" t="s">
        <v>32</v>
      </c>
      <c r="Q44" s="62">
        <f>W44/Y44*100</f>
        <v>10.588235294117647</v>
      </c>
      <c r="R44" s="62">
        <f>X44/Y44*100</f>
        <v>35.294117647058826</v>
      </c>
      <c r="S44" s="65"/>
      <c r="T44" s="65"/>
      <c r="U44" s="48"/>
      <c r="V44" s="449" t="s">
        <v>32</v>
      </c>
      <c r="W44" s="94">
        <v>9</v>
      </c>
      <c r="X44" s="94">
        <v>30</v>
      </c>
      <c r="Y44" s="94">
        <v>85</v>
      </c>
      <c r="Z44" s="64"/>
    </row>
    <row r="45" spans="2:26" x14ac:dyDescent="0.2">
      <c r="B45" s="449" t="s">
        <v>33</v>
      </c>
      <c r="C45" s="55">
        <f>I45/K45*100</f>
        <v>15.447154471544716</v>
      </c>
      <c r="D45" s="55">
        <f>J45/K45*100</f>
        <v>20.325203252032519</v>
      </c>
      <c r="E45" s="64"/>
      <c r="F45" s="64"/>
      <c r="G45" s="9"/>
      <c r="H45" s="449" t="s">
        <v>33</v>
      </c>
      <c r="I45" s="17">
        <v>19</v>
      </c>
      <c r="J45" s="17">
        <v>25</v>
      </c>
      <c r="K45" s="17">
        <v>123</v>
      </c>
      <c r="P45" s="449" t="s">
        <v>33</v>
      </c>
      <c r="Q45" s="62">
        <f>W45/Y45*100</f>
        <v>11.016949152542372</v>
      </c>
      <c r="R45" s="62">
        <f>X45/Y45*100</f>
        <v>15.254237288135593</v>
      </c>
      <c r="S45" s="65"/>
      <c r="T45" s="65"/>
      <c r="U45" s="48"/>
      <c r="V45" s="449" t="s">
        <v>33</v>
      </c>
      <c r="W45" s="94">
        <v>13</v>
      </c>
      <c r="X45" s="94">
        <v>18</v>
      </c>
      <c r="Y45" s="94">
        <v>118</v>
      </c>
      <c r="Z45" s="64"/>
    </row>
    <row r="46" spans="2:26" x14ac:dyDescent="0.2">
      <c r="B46" s="449" t="s">
        <v>34</v>
      </c>
      <c r="C46" s="55">
        <f>I46/K46*100</f>
        <v>10.666666666666668</v>
      </c>
      <c r="D46" s="55">
        <f>J46/K46*100</f>
        <v>12</v>
      </c>
      <c r="E46" s="64"/>
      <c r="F46" s="64"/>
      <c r="G46" s="9"/>
      <c r="H46" s="449" t="s">
        <v>34</v>
      </c>
      <c r="I46" s="17">
        <v>8</v>
      </c>
      <c r="J46" s="17">
        <v>9</v>
      </c>
      <c r="K46" s="17">
        <v>75</v>
      </c>
      <c r="P46" s="449" t="s">
        <v>34</v>
      </c>
      <c r="Q46" s="62">
        <f>W46/Y46*100</f>
        <v>17.567567567567568</v>
      </c>
      <c r="R46" s="62">
        <f>X46/Y46*100</f>
        <v>18.918918918918919</v>
      </c>
      <c r="S46" s="65"/>
      <c r="T46" s="65"/>
      <c r="U46" s="48"/>
      <c r="V46" s="449" t="s">
        <v>34</v>
      </c>
      <c r="W46" s="94">
        <v>13</v>
      </c>
      <c r="X46" s="94">
        <v>14</v>
      </c>
      <c r="Y46" s="94">
        <v>74</v>
      </c>
      <c r="Z46" s="64"/>
    </row>
    <row r="47" spans="2:26" x14ac:dyDescent="0.2">
      <c r="B47" s="449" t="s">
        <v>35</v>
      </c>
      <c r="C47" s="55">
        <f>I47/K47*100</f>
        <v>20.114942528735632</v>
      </c>
      <c r="D47" s="55">
        <f>J47/K47*100</f>
        <v>28.160919540229884</v>
      </c>
      <c r="E47" s="64"/>
      <c r="F47" s="9"/>
      <c r="G47" s="9"/>
      <c r="H47" s="449" t="s">
        <v>35</v>
      </c>
      <c r="I47" s="17">
        <v>35</v>
      </c>
      <c r="J47" s="17">
        <v>49</v>
      </c>
      <c r="K47" s="17">
        <v>174</v>
      </c>
      <c r="P47" s="449" t="s">
        <v>35</v>
      </c>
      <c r="Q47" s="62">
        <f>W47/Y47*100</f>
        <v>5.8823529411764701</v>
      </c>
      <c r="R47" s="62">
        <f>X47/Y47*100</f>
        <v>6.7226890756302522</v>
      </c>
      <c r="S47" s="65"/>
      <c r="T47" s="48"/>
      <c r="U47" s="48"/>
      <c r="V47" s="449" t="s">
        <v>35</v>
      </c>
      <c r="W47" s="94">
        <v>7</v>
      </c>
      <c r="X47" s="94">
        <v>8</v>
      </c>
      <c r="Y47" s="94">
        <v>119</v>
      </c>
      <c r="Z47" s="68"/>
    </row>
    <row r="48" spans="2:26" x14ac:dyDescent="0.2">
      <c r="B48" s="449" t="s">
        <v>81</v>
      </c>
      <c r="C48" s="55">
        <f>I48/K48*100</f>
        <v>14.393939393939394</v>
      </c>
      <c r="D48" s="55">
        <f>J48/K48*100</f>
        <v>19.696969696969695</v>
      </c>
      <c r="E48" s="64"/>
      <c r="F48" s="9"/>
      <c r="G48" s="9"/>
      <c r="H48" s="449" t="s">
        <v>81</v>
      </c>
      <c r="I48" s="17">
        <v>19</v>
      </c>
      <c r="J48" s="17">
        <v>26</v>
      </c>
      <c r="K48" s="17">
        <v>132</v>
      </c>
      <c r="P48" s="449" t="s">
        <v>81</v>
      </c>
      <c r="Q48" s="62">
        <f>W48/Y48*100</f>
        <v>11.235955056179774</v>
      </c>
      <c r="R48" s="62">
        <f>X48/Y48*100</f>
        <v>17.977528089887642</v>
      </c>
      <c r="S48" s="65"/>
      <c r="T48" s="48"/>
      <c r="U48" s="48"/>
      <c r="V48" s="449" t="s">
        <v>81</v>
      </c>
      <c r="W48" s="94">
        <v>10</v>
      </c>
      <c r="X48" s="94">
        <v>16</v>
      </c>
      <c r="Y48" s="94">
        <v>89</v>
      </c>
      <c r="Z48" s="68"/>
    </row>
    <row r="49" spans="1:25" s="27" customFormat="1" x14ac:dyDescent="0.2">
      <c r="B49" s="9"/>
      <c r="C49" s="68"/>
      <c r="D49" s="64"/>
      <c r="E49" s="68"/>
      <c r="F49" s="9"/>
      <c r="G49" s="9"/>
      <c r="H49" s="9"/>
      <c r="I49" s="9"/>
      <c r="J49" s="9"/>
      <c r="K49" s="9"/>
      <c r="L49" s="201"/>
      <c r="P49" s="9"/>
      <c r="Q49" s="232"/>
      <c r="R49" s="65"/>
      <c r="S49" s="232"/>
      <c r="T49" s="48"/>
      <c r="U49" s="48"/>
      <c r="V49" s="48"/>
      <c r="W49" s="48"/>
      <c r="X49" s="48"/>
      <c r="Y49" s="48"/>
    </row>
    <row r="50" spans="1:25" s="27" customFormat="1" x14ac:dyDescent="0.2">
      <c r="B50" s="9"/>
      <c r="C50" s="68"/>
      <c r="D50" s="68"/>
      <c r="E50" s="68"/>
      <c r="F50" s="9"/>
      <c r="G50" s="9"/>
      <c r="H50" s="9"/>
      <c r="I50" s="9"/>
      <c r="J50" s="9"/>
      <c r="K50" s="9"/>
      <c r="L50" s="201"/>
      <c r="P50" s="9"/>
      <c r="Q50" s="232"/>
      <c r="R50" s="232"/>
      <c r="S50" s="232"/>
      <c r="T50" s="48"/>
      <c r="U50" s="48"/>
      <c r="V50" s="48"/>
      <c r="W50" s="48"/>
      <c r="X50" s="48"/>
      <c r="Y50" s="48"/>
    </row>
    <row r="51" spans="1:25" s="27" customFormat="1" x14ac:dyDescent="0.2">
      <c r="A51" s="68" t="s">
        <v>51</v>
      </c>
      <c r="B51" s="59" t="s">
        <v>1</v>
      </c>
      <c r="C51" s="17">
        <f>AVERAGE(C13:C19)</f>
        <v>10.303424245240807</v>
      </c>
      <c r="D51" s="17">
        <f>AVERAGE(D13:D19)</f>
        <v>1.9309032189356734</v>
      </c>
      <c r="E51" s="68"/>
      <c r="F51" s="9"/>
      <c r="G51" s="9"/>
      <c r="H51" s="107" t="s">
        <v>338</v>
      </c>
      <c r="I51" s="9"/>
      <c r="J51" s="9"/>
      <c r="K51" s="9"/>
      <c r="L51" s="201"/>
      <c r="M51" s="201"/>
      <c r="O51" s="68" t="s">
        <v>51</v>
      </c>
      <c r="P51" s="59" t="s">
        <v>1</v>
      </c>
      <c r="Q51" s="94">
        <f>AVERAGE(Q13:Q19)</f>
        <v>10.347792419020342</v>
      </c>
      <c r="R51" s="94">
        <f>AVERAGE(R13:R19)</f>
        <v>2.1883774910409293</v>
      </c>
      <c r="S51" s="232"/>
      <c r="T51" s="48"/>
      <c r="U51" s="48"/>
      <c r="V51" s="250" t="s">
        <v>338</v>
      </c>
      <c r="W51" s="48"/>
      <c r="X51" s="48"/>
      <c r="Y51" s="48"/>
    </row>
    <row r="52" spans="1:25" s="27" customFormat="1" x14ac:dyDescent="0.2">
      <c r="B52" s="59" t="s">
        <v>2</v>
      </c>
      <c r="C52" s="17">
        <f>AVERAGE(C24:C30)</f>
        <v>22.095485498976917</v>
      </c>
      <c r="D52" s="17">
        <f>AVERAGE(D24:D30)</f>
        <v>21.190704101550914</v>
      </c>
      <c r="E52" s="68"/>
      <c r="F52" s="9"/>
      <c r="G52" s="9"/>
      <c r="H52" s="9"/>
      <c r="I52" s="9"/>
      <c r="J52" s="9"/>
      <c r="K52" s="9"/>
      <c r="L52" s="201"/>
      <c r="M52" s="201"/>
      <c r="P52" s="59" t="s">
        <v>2</v>
      </c>
      <c r="Q52" s="94">
        <f>AVERAGE(Q24:Q30)</f>
        <v>9.2076599770595777</v>
      </c>
      <c r="R52" s="94">
        <f>AVERAGE(R24:R30)</f>
        <v>23.69792253513538</v>
      </c>
      <c r="S52" s="232"/>
      <c r="T52" s="48"/>
      <c r="U52" s="48"/>
      <c r="V52" s="48"/>
      <c r="W52" s="48"/>
      <c r="X52" s="48"/>
      <c r="Y52" s="48"/>
    </row>
    <row r="53" spans="1:25" s="27" customFormat="1" x14ac:dyDescent="0.2">
      <c r="B53" s="59" t="s">
        <v>3</v>
      </c>
      <c r="C53" s="17">
        <f>AVERAGE(C35:C39)</f>
        <v>12.09666527904999</v>
      </c>
      <c r="D53" s="17">
        <f>AVERAGE(D35:D39)</f>
        <v>16.10743086023518</v>
      </c>
      <c r="E53" s="68"/>
      <c r="F53" s="9"/>
      <c r="G53" s="9"/>
      <c r="H53" s="59"/>
      <c r="I53" s="69" t="s">
        <v>793</v>
      </c>
      <c r="J53" s="69" t="s">
        <v>794</v>
      </c>
      <c r="K53" s="175" t="s">
        <v>336</v>
      </c>
      <c r="L53" s="237"/>
      <c r="M53" s="201"/>
      <c r="P53" s="59" t="s">
        <v>3</v>
      </c>
      <c r="Q53" s="94">
        <f>AVERAGE(Q35:Q39)</f>
        <v>7.8681029023896034</v>
      </c>
      <c r="R53" s="94">
        <f>AVERAGE(R35:R39)</f>
        <v>21.985982051259821</v>
      </c>
      <c r="S53" s="232"/>
      <c r="T53" s="48"/>
      <c r="U53" s="48"/>
      <c r="V53" s="60"/>
      <c r="W53" s="69" t="s">
        <v>793</v>
      </c>
      <c r="X53" s="69" t="s">
        <v>794</v>
      </c>
      <c r="Y53" s="60" t="s">
        <v>336</v>
      </c>
    </row>
    <row r="54" spans="1:25" s="27" customFormat="1" x14ac:dyDescent="0.2">
      <c r="B54" s="59" t="s">
        <v>4</v>
      </c>
      <c r="C54" s="17">
        <f>AVERAGE(C44:C48)</f>
        <v>15.173321099982161</v>
      </c>
      <c r="D54" s="17">
        <f>AVERAGE(D44:D48)</f>
        <v>20.304911180773246</v>
      </c>
      <c r="E54" s="68"/>
      <c r="F54" s="9"/>
      <c r="G54" s="9"/>
      <c r="H54" s="59" t="s">
        <v>1</v>
      </c>
      <c r="I54" s="17">
        <f>SUM(I13:I19)</f>
        <v>53</v>
      </c>
      <c r="J54" s="17">
        <f>SUM(J13:J19)</f>
        <v>9</v>
      </c>
      <c r="K54" s="17">
        <f>SUM(K13:K19)</f>
        <v>528</v>
      </c>
      <c r="L54" s="68"/>
      <c r="M54" s="201"/>
      <c r="P54" s="59" t="s">
        <v>4</v>
      </c>
      <c r="Q54" s="94">
        <f>AVERAGE(Q44:Q48)</f>
        <v>11.258212002316766</v>
      </c>
      <c r="R54" s="94">
        <f>AVERAGE(R44:R48)</f>
        <v>18.833498203926247</v>
      </c>
      <c r="S54" s="232"/>
      <c r="T54" s="48"/>
      <c r="U54" s="48"/>
      <c r="V54" s="59" t="s">
        <v>1</v>
      </c>
      <c r="W54" s="94">
        <f>SUM(W13:W19)</f>
        <v>67</v>
      </c>
      <c r="X54" s="94">
        <f>SUM(X13:X19)</f>
        <v>14</v>
      </c>
      <c r="Y54" s="94">
        <f>SUM(Y13:Y19)</f>
        <v>673</v>
      </c>
    </row>
    <row r="55" spans="1:25" s="27" customFormat="1" x14ac:dyDescent="0.2">
      <c r="B55" s="9"/>
      <c r="C55" s="9"/>
      <c r="D55" s="9"/>
      <c r="E55" s="68"/>
      <c r="F55" s="9"/>
      <c r="G55" s="9"/>
      <c r="H55" s="59" t="s">
        <v>2</v>
      </c>
      <c r="I55" s="17">
        <f>SUM(I24:I30)</f>
        <v>152</v>
      </c>
      <c r="J55" s="17">
        <f>SUM(J24:J30)</f>
        <v>149</v>
      </c>
      <c r="K55" s="17">
        <f>SUM(K24:K30)</f>
        <v>698</v>
      </c>
      <c r="L55" s="68"/>
      <c r="M55" s="201"/>
      <c r="P55" s="9"/>
      <c r="Q55" s="48"/>
      <c r="R55" s="48"/>
      <c r="S55" s="232"/>
      <c r="T55" s="48"/>
      <c r="U55" s="48"/>
      <c r="V55" s="60" t="s">
        <v>2</v>
      </c>
      <c r="W55" s="94">
        <f>SUM(W24:W30)</f>
        <v>64</v>
      </c>
      <c r="X55" s="94">
        <f>SUM(X24:X30)</f>
        <v>163</v>
      </c>
      <c r="Y55" s="94">
        <f>SUM(Y24:Y30)</f>
        <v>682</v>
      </c>
    </row>
    <row r="56" spans="1:25" s="27" customFormat="1" x14ac:dyDescent="0.2">
      <c r="B56" s="9"/>
      <c r="C56" s="9"/>
      <c r="D56" s="9"/>
      <c r="E56" s="68"/>
      <c r="F56" s="9"/>
      <c r="G56" s="9"/>
      <c r="H56" s="59" t="s">
        <v>3</v>
      </c>
      <c r="I56" s="17">
        <f>SUM(I35:I39)</f>
        <v>53</v>
      </c>
      <c r="J56" s="17">
        <f>SUM(J35:J39)</f>
        <v>80</v>
      </c>
      <c r="K56" s="17">
        <f>SUM(K35:K39)</f>
        <v>463</v>
      </c>
      <c r="L56" s="68"/>
      <c r="M56" s="201"/>
      <c r="P56" s="9"/>
      <c r="Q56" s="48"/>
      <c r="R56" s="48"/>
      <c r="S56" s="232"/>
      <c r="T56" s="48"/>
      <c r="U56" s="48"/>
      <c r="V56" s="60" t="s">
        <v>3</v>
      </c>
      <c r="W56" s="94">
        <f>SUM(W35:W39)</f>
        <v>38</v>
      </c>
      <c r="X56" s="94">
        <f>SUM(X35:X39)</f>
        <v>102</v>
      </c>
      <c r="Y56" s="94">
        <f>SUM(Y35:Y39)</f>
        <v>486</v>
      </c>
    </row>
    <row r="57" spans="1:25" s="27" customFormat="1" x14ac:dyDescent="0.2">
      <c r="A57" s="68" t="s">
        <v>13</v>
      </c>
      <c r="B57" s="59" t="s">
        <v>1</v>
      </c>
      <c r="C57" s="17">
        <f>STDEV(C13:C19)</f>
        <v>1.0355170617889096</v>
      </c>
      <c r="D57" s="17">
        <f>STDEV(D13:D19)</f>
        <v>0.96060044328295813</v>
      </c>
      <c r="E57" s="68"/>
      <c r="F57" s="9"/>
      <c r="G57" s="9"/>
      <c r="H57" s="59" t="s">
        <v>4</v>
      </c>
      <c r="I57" s="17">
        <f>SUM(J44:J48)</f>
        <v>144</v>
      </c>
      <c r="J57" s="17">
        <f>SUM(I44:I48)</f>
        <v>106</v>
      </c>
      <c r="K57" s="17">
        <f>SUM(K44:K48)</f>
        <v>668</v>
      </c>
      <c r="L57" s="68"/>
      <c r="M57" s="201"/>
      <c r="O57" s="68" t="s">
        <v>13</v>
      </c>
      <c r="P57" s="59" t="s">
        <v>1</v>
      </c>
      <c r="Q57" s="94">
        <f>STDEV(Q13:Q19)</f>
        <v>3.4340293974312566</v>
      </c>
      <c r="R57" s="94">
        <f>STDEV(R13:R19)</f>
        <v>1.4198539372071048</v>
      </c>
      <c r="S57" s="232"/>
      <c r="T57" s="48"/>
      <c r="U57" s="48"/>
      <c r="V57" s="60" t="s">
        <v>4</v>
      </c>
      <c r="W57" s="94">
        <f>SUM(W44:W48)</f>
        <v>52</v>
      </c>
      <c r="X57" s="94">
        <f>SUM(X44:X48)</f>
        <v>86</v>
      </c>
      <c r="Y57" s="94">
        <f>SUM(Y44:Y48)</f>
        <v>485</v>
      </c>
    </row>
    <row r="58" spans="1:25" s="27" customFormat="1" x14ac:dyDescent="0.2">
      <c r="B58" s="59" t="s">
        <v>2</v>
      </c>
      <c r="C58" s="17">
        <f>STDEV(C24:C30)</f>
        <v>3.9075477266004546</v>
      </c>
      <c r="D58" s="17">
        <f>STDEV(D24:D30)</f>
        <v>3.7056405445741345</v>
      </c>
      <c r="E58" s="68"/>
      <c r="F58" s="9"/>
      <c r="G58" s="9"/>
      <c r="H58" s="9"/>
      <c r="I58" s="9"/>
      <c r="J58" s="9"/>
      <c r="K58" s="9"/>
      <c r="L58" s="201"/>
      <c r="M58" s="201"/>
      <c r="P58" s="59" t="s">
        <v>2</v>
      </c>
      <c r="Q58" s="17">
        <f>STDEV(Q24:Q30)</f>
        <v>3.1944892684526627</v>
      </c>
      <c r="R58" s="17">
        <f>STDEV(R24:R30)</f>
        <v>8.1649573873723593</v>
      </c>
      <c r="S58" s="68"/>
      <c r="T58" s="9"/>
      <c r="U58" s="9"/>
      <c r="V58" s="9"/>
      <c r="W58" s="9"/>
      <c r="X58" s="9"/>
      <c r="Y58" s="9"/>
    </row>
    <row r="59" spans="1:25" s="27" customFormat="1" x14ac:dyDescent="0.2">
      <c r="B59" s="59" t="s">
        <v>3</v>
      </c>
      <c r="C59" s="17">
        <f>STDEV(C35:C39)</f>
        <v>4.0464551116692702</v>
      </c>
      <c r="D59" s="17">
        <f>STDEV(D35:D39)</f>
        <v>5.9269034943097401</v>
      </c>
      <c r="E59" s="68"/>
      <c r="F59" s="9"/>
      <c r="G59" s="9"/>
      <c r="H59" s="9"/>
      <c r="I59" s="9"/>
      <c r="J59" s="9"/>
      <c r="K59" s="9"/>
      <c r="L59" s="201"/>
      <c r="P59" s="59" t="s">
        <v>3</v>
      </c>
      <c r="Q59" s="17">
        <f>STDEV(Q35:Q39)</f>
        <v>3.0343669728517138</v>
      </c>
      <c r="R59" s="17">
        <f>STDEV(R35:R39)</f>
        <v>6.1343506577351441</v>
      </c>
      <c r="S59" s="68"/>
      <c r="T59" s="9"/>
      <c r="U59" s="9"/>
      <c r="V59" s="9"/>
      <c r="W59" s="9"/>
      <c r="X59" s="9"/>
      <c r="Y59" s="9"/>
    </row>
    <row r="60" spans="1:25" s="27" customFormat="1" x14ac:dyDescent="0.2">
      <c r="B60" s="59" t="s">
        <v>4</v>
      </c>
      <c r="C60" s="17">
        <f>STDEV(C44:C48)</f>
        <v>3.3696052740252056</v>
      </c>
      <c r="D60" s="17">
        <f>STDEV(D44:D48)</f>
        <v>5.7474529622649593</v>
      </c>
      <c r="E60" s="68"/>
      <c r="F60" s="9"/>
      <c r="G60" s="9"/>
      <c r="H60" s="9"/>
      <c r="I60" s="9"/>
      <c r="J60" s="9"/>
      <c r="K60" s="9"/>
      <c r="L60" s="201"/>
      <c r="P60" s="59" t="s">
        <v>4</v>
      </c>
      <c r="Q60" s="17">
        <f>STDEV(Q44:Q48)</f>
        <v>4.1597896646906154</v>
      </c>
      <c r="R60" s="17">
        <f>STDEV(R44:R48)</f>
        <v>10.382374251967081</v>
      </c>
      <c r="S60" s="68"/>
      <c r="T60" s="9"/>
      <c r="U60" s="9"/>
      <c r="V60" s="9"/>
      <c r="W60" s="9"/>
      <c r="X60" s="9"/>
      <c r="Y60" s="9"/>
    </row>
    <row r="61" spans="1:25" s="27" customFormat="1" x14ac:dyDescent="0.2">
      <c r="B61" s="9"/>
      <c r="C61" s="9"/>
      <c r="D61" s="9"/>
      <c r="E61" s="68"/>
      <c r="F61" s="9"/>
      <c r="G61" s="9"/>
      <c r="H61" s="9"/>
      <c r="I61" s="9"/>
      <c r="J61" s="9"/>
      <c r="K61" s="9"/>
      <c r="L61" s="201"/>
      <c r="P61" s="9"/>
      <c r="Q61" s="9"/>
      <c r="R61" s="9"/>
      <c r="S61" s="68"/>
      <c r="T61" s="9"/>
      <c r="U61" s="9"/>
      <c r="V61" s="9"/>
      <c r="W61" s="9"/>
      <c r="X61" s="9"/>
      <c r="Y61" s="9"/>
    </row>
    <row r="62" spans="1:25" s="27" customFormat="1" x14ac:dyDescent="0.2">
      <c r="B62" s="9"/>
      <c r="C62" s="9"/>
      <c r="D62" s="9"/>
      <c r="E62" s="68"/>
      <c r="F62" s="9"/>
      <c r="G62" s="9"/>
      <c r="H62" s="9"/>
      <c r="I62" s="9"/>
      <c r="J62" s="9"/>
      <c r="K62" s="9"/>
      <c r="L62" s="201"/>
      <c r="P62" s="9"/>
      <c r="Q62" s="9"/>
      <c r="R62" s="9"/>
      <c r="S62" s="68"/>
      <c r="T62" s="9"/>
      <c r="U62" s="9"/>
      <c r="V62" s="9"/>
      <c r="W62" s="9"/>
      <c r="X62" s="9"/>
      <c r="Y62" s="9"/>
    </row>
    <row r="63" spans="1:25" s="27" customFormat="1" x14ac:dyDescent="0.2">
      <c r="A63" s="68" t="s">
        <v>14</v>
      </c>
      <c r="B63" s="59" t="s">
        <v>1</v>
      </c>
      <c r="C63" s="70">
        <f>C57/(7^0.5)</f>
        <v>0.39138866055110855</v>
      </c>
      <c r="D63" s="70">
        <f>D57/(7^0.5)</f>
        <v>0.36307284031787335</v>
      </c>
      <c r="E63" s="245"/>
      <c r="F63" s="9"/>
      <c r="G63" s="9"/>
      <c r="H63" s="9"/>
      <c r="I63" s="9"/>
      <c r="J63" s="9"/>
      <c r="K63" s="9"/>
      <c r="L63" s="201"/>
      <c r="O63" s="68" t="s">
        <v>14</v>
      </c>
      <c r="P63" s="59" t="s">
        <v>1</v>
      </c>
      <c r="Q63" s="70">
        <f>Q57/(7^0.5)</f>
        <v>1.297941111498299</v>
      </c>
      <c r="R63" s="70">
        <f>R57/(7^0.5)</f>
        <v>0.53665434512655974</v>
      </c>
      <c r="S63" s="106"/>
      <c r="T63" s="9"/>
      <c r="U63" s="9"/>
      <c r="V63" s="9"/>
      <c r="W63" s="9"/>
      <c r="X63" s="9"/>
      <c r="Y63" s="9"/>
    </row>
    <row r="64" spans="1:25" s="27" customFormat="1" x14ac:dyDescent="0.2">
      <c r="B64" s="59" t="s">
        <v>2</v>
      </c>
      <c r="C64" s="70">
        <f>C58/(7^0.5)</f>
        <v>1.4769142172429446</v>
      </c>
      <c r="D64" s="70">
        <f>D58/(7^0.5)</f>
        <v>1.4006004755915884</v>
      </c>
      <c r="E64" s="245"/>
      <c r="F64" s="9"/>
      <c r="G64" s="9"/>
      <c r="H64" s="9"/>
      <c r="I64" s="9"/>
      <c r="J64" s="9"/>
      <c r="K64" s="9"/>
      <c r="L64" s="201"/>
      <c r="P64" s="59" t="s">
        <v>2</v>
      </c>
      <c r="Q64" s="70">
        <f>Q58/(7^0.5)</f>
        <v>1.2074034528843425</v>
      </c>
      <c r="R64" s="70">
        <f>R58/(7^0.5)</f>
        <v>3.0860638160609906</v>
      </c>
      <c r="S64" s="106"/>
      <c r="T64" s="9"/>
      <c r="U64" s="9"/>
      <c r="V64" s="9"/>
      <c r="W64" s="9"/>
      <c r="X64" s="9"/>
      <c r="Y64" s="9"/>
    </row>
    <row r="65" spans="1:26" x14ac:dyDescent="0.2">
      <c r="B65" s="59" t="s">
        <v>3</v>
      </c>
      <c r="C65" s="70">
        <f>C59/(5^0.5)</f>
        <v>1.8096297395187981</v>
      </c>
      <c r="D65" s="70">
        <f>D59/(5^0.5)</f>
        <v>2.6505918218715232</v>
      </c>
      <c r="E65" s="245"/>
      <c r="F65" s="9"/>
      <c r="G65" s="9"/>
      <c r="H65" s="9"/>
      <c r="I65" s="9"/>
      <c r="J65" s="9"/>
      <c r="K65" s="9"/>
      <c r="P65" s="59" t="s">
        <v>3</v>
      </c>
      <c r="Q65" s="70">
        <f>Q59/(5^0.5)</f>
        <v>1.357010163995338</v>
      </c>
      <c r="R65" s="70">
        <f>R59/(5^0.5)</f>
        <v>2.7433650137032655</v>
      </c>
      <c r="S65" s="106"/>
      <c r="T65" s="9"/>
      <c r="U65" s="9"/>
      <c r="V65" s="9"/>
      <c r="W65" s="9"/>
      <c r="X65" s="9"/>
      <c r="Y65" s="9"/>
      <c r="Z65" s="27"/>
    </row>
    <row r="66" spans="1:26" x14ac:dyDescent="0.2">
      <c r="B66" s="59" t="s">
        <v>4</v>
      </c>
      <c r="C66" s="70">
        <f>C60/(5^0.5)</f>
        <v>1.5069332900124333</v>
      </c>
      <c r="D66" s="70">
        <f>D60/(5^0.5)</f>
        <v>2.5703391042213966</v>
      </c>
      <c r="E66" s="245"/>
      <c r="F66" s="9"/>
      <c r="G66" s="9"/>
      <c r="H66" s="9"/>
      <c r="I66" s="9"/>
      <c r="J66" s="9"/>
      <c r="K66" s="9"/>
      <c r="P66" s="59" t="s">
        <v>4</v>
      </c>
      <c r="Q66" s="70">
        <f>Q60/(5^0.5)</f>
        <v>1.8603144924698545</v>
      </c>
      <c r="R66" s="70">
        <f>R60/(5^0.5)</f>
        <v>4.6431389190483845</v>
      </c>
      <c r="S66" s="106"/>
      <c r="T66" s="9"/>
      <c r="U66" s="9"/>
      <c r="V66" s="9"/>
      <c r="W66" s="9"/>
      <c r="X66" s="9"/>
      <c r="Y66" s="9"/>
      <c r="Z66" s="27"/>
    </row>
    <row r="67" spans="1:26" x14ac:dyDescent="0.2">
      <c r="B67" s="21"/>
      <c r="C67" s="79"/>
      <c r="D67" s="79"/>
      <c r="E67" s="79"/>
      <c r="P67" s="21"/>
      <c r="Q67" s="79"/>
      <c r="R67" s="79"/>
      <c r="S67" s="79"/>
      <c r="Z67" s="27"/>
    </row>
    <row r="69" spans="1:26" ht="18" x14ac:dyDescent="0.2">
      <c r="B69" s="19" t="s">
        <v>52</v>
      </c>
      <c r="C69" s="20"/>
      <c r="D69" s="20"/>
      <c r="E69" s="20"/>
      <c r="P69" s="452" t="s">
        <v>52</v>
      </c>
      <c r="Q69" s="165"/>
    </row>
    <row r="70" spans="1:26" x14ac:dyDescent="0.2">
      <c r="A70" s="251" t="s">
        <v>791</v>
      </c>
      <c r="B70" s="52" t="s">
        <v>658</v>
      </c>
      <c r="O70" s="251" t="s">
        <v>791</v>
      </c>
      <c r="P70" s="52" t="s">
        <v>662</v>
      </c>
    </row>
    <row r="71" spans="1:26" x14ac:dyDescent="0.2">
      <c r="B71" s="15" t="s">
        <v>53</v>
      </c>
      <c r="P71" s="15" t="s">
        <v>53</v>
      </c>
    </row>
    <row r="72" spans="1:26" x14ac:dyDescent="0.2">
      <c r="B72" s="2" t="s">
        <v>0</v>
      </c>
      <c r="E72" s="46">
        <v>17.510000000000002</v>
      </c>
      <c r="P72" s="2" t="s">
        <v>0</v>
      </c>
      <c r="S72" s="46">
        <v>0.93969999999999998</v>
      </c>
    </row>
    <row r="73" spans="1:26" x14ac:dyDescent="0.2">
      <c r="B73" s="2" t="s">
        <v>36</v>
      </c>
      <c r="E73" s="46" t="s">
        <v>176</v>
      </c>
      <c r="P73" s="2" t="s">
        <v>36</v>
      </c>
      <c r="S73" s="46">
        <v>0.44</v>
      </c>
    </row>
    <row r="74" spans="1:26" x14ac:dyDescent="0.2">
      <c r="B74" s="2" t="s">
        <v>37</v>
      </c>
      <c r="E74" s="46" t="s">
        <v>10</v>
      </c>
      <c r="P74" s="2" t="s">
        <v>37</v>
      </c>
      <c r="S74" s="46" t="s">
        <v>9</v>
      </c>
    </row>
    <row r="75" spans="1:26" x14ac:dyDescent="0.2">
      <c r="B75" s="2" t="s">
        <v>54</v>
      </c>
      <c r="E75" s="46" t="s">
        <v>41</v>
      </c>
      <c r="P75" s="2" t="s">
        <v>54</v>
      </c>
      <c r="S75" s="46" t="s">
        <v>49</v>
      </c>
    </row>
    <row r="76" spans="1:26" x14ac:dyDescent="0.2">
      <c r="B76" s="2" t="s">
        <v>55</v>
      </c>
      <c r="E76" s="46">
        <v>0.72419999999999995</v>
      </c>
      <c r="P76" s="2" t="s">
        <v>55</v>
      </c>
      <c r="S76" s="46">
        <v>0.1235</v>
      </c>
    </row>
    <row r="78" spans="1:26" x14ac:dyDescent="0.2">
      <c r="B78" s="3" t="s">
        <v>44</v>
      </c>
      <c r="C78" s="200"/>
      <c r="D78" s="200"/>
      <c r="E78" s="200"/>
      <c r="F78" s="200"/>
      <c r="G78" s="200"/>
      <c r="P78" s="3" t="s">
        <v>44</v>
      </c>
      <c r="Q78" s="200"/>
      <c r="R78" s="200"/>
      <c r="S78" s="200"/>
      <c r="T78" s="200"/>
      <c r="U78" s="200"/>
    </row>
    <row r="79" spans="1:26" x14ac:dyDescent="0.2">
      <c r="B79" s="200"/>
      <c r="C79" s="16" t="s">
        <v>45</v>
      </c>
      <c r="D79" s="16" t="s">
        <v>46</v>
      </c>
      <c r="E79" s="16" t="s">
        <v>47</v>
      </c>
      <c r="F79" s="16" t="s">
        <v>48</v>
      </c>
      <c r="G79" s="16" t="s">
        <v>5</v>
      </c>
      <c r="P79" s="200"/>
      <c r="Q79" s="16" t="s">
        <v>45</v>
      </c>
      <c r="R79" s="16" t="s">
        <v>46</v>
      </c>
      <c r="S79" s="16" t="s">
        <v>47</v>
      </c>
      <c r="T79" s="16" t="s">
        <v>48</v>
      </c>
      <c r="U79" s="16" t="s">
        <v>5</v>
      </c>
    </row>
    <row r="80" spans="1:26" x14ac:dyDescent="0.2">
      <c r="B80" s="2" t="s">
        <v>6</v>
      </c>
      <c r="C80" s="1">
        <v>-11.79</v>
      </c>
      <c r="D80" s="1" t="s">
        <v>796</v>
      </c>
      <c r="E80" s="1" t="s">
        <v>41</v>
      </c>
      <c r="F80" s="1" t="s">
        <v>10</v>
      </c>
      <c r="G80" s="46" t="s">
        <v>176</v>
      </c>
      <c r="P80" s="2" t="s">
        <v>6</v>
      </c>
      <c r="Q80" s="1">
        <v>1.1399999999999999</v>
      </c>
      <c r="R80" s="1" t="s">
        <v>802</v>
      </c>
      <c r="S80" s="1" t="s">
        <v>49</v>
      </c>
      <c r="T80" s="1" t="s">
        <v>9</v>
      </c>
      <c r="U80" s="1">
        <v>0.87690000000000001</v>
      </c>
    </row>
    <row r="81" spans="1:21" x14ac:dyDescent="0.2">
      <c r="B81" s="2" t="s">
        <v>7</v>
      </c>
      <c r="C81" s="1">
        <v>-1.7929999999999999</v>
      </c>
      <c r="D81" s="1" t="s">
        <v>797</v>
      </c>
      <c r="E81" s="1" t="s">
        <v>49</v>
      </c>
      <c r="F81" s="1" t="s">
        <v>9</v>
      </c>
      <c r="G81" s="1">
        <v>0.67969999999999997</v>
      </c>
      <c r="P81" s="2" t="s">
        <v>7</v>
      </c>
      <c r="Q81" s="1">
        <v>2.48</v>
      </c>
      <c r="R81" s="1" t="s">
        <v>803</v>
      </c>
      <c r="S81" s="1" t="s">
        <v>49</v>
      </c>
      <c r="T81" s="1" t="s">
        <v>9</v>
      </c>
      <c r="U81" s="1">
        <v>0.4955</v>
      </c>
    </row>
    <row r="82" spans="1:21" x14ac:dyDescent="0.2">
      <c r="B82" s="2" t="s">
        <v>8</v>
      </c>
      <c r="C82" s="1">
        <v>-4.87</v>
      </c>
      <c r="D82" s="1" t="s">
        <v>798</v>
      </c>
      <c r="E82" s="1" t="s">
        <v>41</v>
      </c>
      <c r="F82" s="1" t="s">
        <v>12</v>
      </c>
      <c r="G82" s="1">
        <v>4.7899999999999998E-2</v>
      </c>
      <c r="P82" s="2" t="s">
        <v>8</v>
      </c>
      <c r="Q82" s="1">
        <v>-0.91039999999999999</v>
      </c>
      <c r="R82" s="1" t="s">
        <v>804</v>
      </c>
      <c r="S82" s="1" t="s">
        <v>49</v>
      </c>
      <c r="T82" s="1" t="s">
        <v>9</v>
      </c>
      <c r="U82" s="1">
        <v>0.94589999999999996</v>
      </c>
    </row>
    <row r="85" spans="1:21" x14ac:dyDescent="0.2">
      <c r="A85" s="251" t="s">
        <v>792</v>
      </c>
      <c r="B85" s="52" t="s">
        <v>658</v>
      </c>
      <c r="O85" s="251" t="s">
        <v>792</v>
      </c>
      <c r="P85" s="52" t="s">
        <v>662</v>
      </c>
    </row>
    <row r="86" spans="1:21" x14ac:dyDescent="0.2">
      <c r="B86" s="15" t="s">
        <v>53</v>
      </c>
      <c r="P86" s="15" t="s">
        <v>53</v>
      </c>
    </row>
    <row r="87" spans="1:21" x14ac:dyDescent="0.2">
      <c r="B87" s="2" t="s">
        <v>0</v>
      </c>
      <c r="E87" s="46">
        <v>29.58</v>
      </c>
      <c r="P87" s="2" t="s">
        <v>0</v>
      </c>
      <c r="S87" s="46">
        <v>13.21</v>
      </c>
    </row>
    <row r="88" spans="1:21" x14ac:dyDescent="0.2">
      <c r="B88" s="2" t="s">
        <v>36</v>
      </c>
      <c r="E88" s="46" t="s">
        <v>176</v>
      </c>
      <c r="P88" s="2" t="s">
        <v>36</v>
      </c>
      <c r="S88" s="46" t="s">
        <v>176</v>
      </c>
    </row>
    <row r="89" spans="1:21" x14ac:dyDescent="0.2">
      <c r="B89" s="2" t="s">
        <v>37</v>
      </c>
      <c r="E89" s="46" t="s">
        <v>10</v>
      </c>
      <c r="P89" s="2" t="s">
        <v>37</v>
      </c>
      <c r="S89" s="46" t="s">
        <v>10</v>
      </c>
    </row>
    <row r="90" spans="1:21" x14ac:dyDescent="0.2">
      <c r="B90" s="2" t="s">
        <v>54</v>
      </c>
      <c r="E90" s="46" t="s">
        <v>41</v>
      </c>
      <c r="P90" s="2" t="s">
        <v>54</v>
      </c>
      <c r="S90" s="46" t="s">
        <v>41</v>
      </c>
    </row>
    <row r="91" spans="1:21" x14ac:dyDescent="0.2">
      <c r="B91" s="2" t="s">
        <v>55</v>
      </c>
      <c r="E91" s="46">
        <v>0.81610000000000005</v>
      </c>
      <c r="P91" s="2" t="s">
        <v>55</v>
      </c>
      <c r="S91" s="46">
        <v>0.66459999999999997</v>
      </c>
    </row>
    <row r="93" spans="1:21" x14ac:dyDescent="0.2">
      <c r="B93" s="3" t="s">
        <v>44</v>
      </c>
      <c r="C93" s="200"/>
      <c r="D93" s="200"/>
      <c r="E93" s="200"/>
      <c r="F93" s="200"/>
      <c r="G93" s="200"/>
      <c r="P93" s="3" t="s">
        <v>44</v>
      </c>
      <c r="Q93" s="200"/>
      <c r="R93" s="200"/>
      <c r="S93" s="200"/>
      <c r="T93" s="200"/>
      <c r="U93" s="200"/>
    </row>
    <row r="94" spans="1:21" x14ac:dyDescent="0.2">
      <c r="B94" s="200"/>
      <c r="C94" s="16" t="s">
        <v>45</v>
      </c>
      <c r="D94" s="16" t="s">
        <v>46</v>
      </c>
      <c r="E94" s="16" t="s">
        <v>47</v>
      </c>
      <c r="F94" s="16" t="s">
        <v>48</v>
      </c>
      <c r="G94" s="16" t="s">
        <v>5</v>
      </c>
      <c r="P94" s="200"/>
      <c r="Q94" s="16" t="s">
        <v>45</v>
      </c>
      <c r="R94" s="16" t="s">
        <v>46</v>
      </c>
      <c r="S94" s="16" t="s">
        <v>47</v>
      </c>
      <c r="T94" s="16" t="s">
        <v>48</v>
      </c>
      <c r="U94" s="16" t="s">
        <v>5</v>
      </c>
    </row>
    <row r="95" spans="1:21" x14ac:dyDescent="0.2">
      <c r="B95" s="2" t="s">
        <v>6</v>
      </c>
      <c r="C95" s="1">
        <v>-19.260000000000002</v>
      </c>
      <c r="D95" s="1" t="s">
        <v>799</v>
      </c>
      <c r="E95" s="1" t="s">
        <v>41</v>
      </c>
      <c r="F95" s="2" t="s">
        <v>10</v>
      </c>
      <c r="G95" s="1" t="s">
        <v>176</v>
      </c>
      <c r="P95" s="2" t="s">
        <v>6</v>
      </c>
      <c r="Q95" s="1">
        <v>-21.51</v>
      </c>
      <c r="R95" s="1" t="s">
        <v>805</v>
      </c>
      <c r="S95" s="1" t="s">
        <v>41</v>
      </c>
      <c r="T95" s="1" t="s">
        <v>10</v>
      </c>
      <c r="U95" s="46" t="s">
        <v>176</v>
      </c>
    </row>
    <row r="96" spans="1:21" x14ac:dyDescent="0.2">
      <c r="B96" s="2" t="s">
        <v>7</v>
      </c>
      <c r="C96" s="1">
        <v>-14.18</v>
      </c>
      <c r="D96" s="1" t="s">
        <v>800</v>
      </c>
      <c r="E96" s="1" t="s">
        <v>41</v>
      </c>
      <c r="F96" s="2" t="s">
        <v>10</v>
      </c>
      <c r="G96" s="1" t="s">
        <v>176</v>
      </c>
      <c r="P96" s="2" t="s">
        <v>7</v>
      </c>
      <c r="Q96" s="1">
        <v>-19.8</v>
      </c>
      <c r="R96" s="1" t="s">
        <v>806</v>
      </c>
      <c r="S96" s="1" t="s">
        <v>41</v>
      </c>
      <c r="T96" s="1" t="s">
        <v>10</v>
      </c>
      <c r="U96" s="1">
        <v>2.9999999999999997E-4</v>
      </c>
    </row>
    <row r="97" spans="2:21" x14ac:dyDescent="0.2">
      <c r="B97" s="2" t="s">
        <v>8</v>
      </c>
      <c r="C97" s="1">
        <v>-18.37</v>
      </c>
      <c r="D97" s="1" t="s">
        <v>801</v>
      </c>
      <c r="E97" s="1" t="s">
        <v>41</v>
      </c>
      <c r="F97" s="2" t="s">
        <v>10</v>
      </c>
      <c r="G97" s="1" t="s">
        <v>176</v>
      </c>
      <c r="P97" s="2" t="s">
        <v>8</v>
      </c>
      <c r="Q97" s="1">
        <v>-16.649999999999999</v>
      </c>
      <c r="R97" s="1" t="s">
        <v>807</v>
      </c>
      <c r="S97" s="1" t="s">
        <v>41</v>
      </c>
      <c r="T97" s="1" t="s">
        <v>11</v>
      </c>
      <c r="U97" s="1">
        <v>1.9E-3</v>
      </c>
    </row>
  </sheetData>
  <mergeCells count="16">
    <mergeCell ref="Q11:R11"/>
    <mergeCell ref="Q22:R22"/>
    <mergeCell ref="Q33:R33"/>
    <mergeCell ref="Q42:R42"/>
    <mergeCell ref="W42:Y42"/>
    <mergeCell ref="W33:Y33"/>
    <mergeCell ref="W22:Y22"/>
    <mergeCell ref="W11:Y11"/>
    <mergeCell ref="C11:D11"/>
    <mergeCell ref="C22:D22"/>
    <mergeCell ref="C33:D33"/>
    <mergeCell ref="C42:D42"/>
    <mergeCell ref="I42:K42"/>
    <mergeCell ref="I33:K33"/>
    <mergeCell ref="I22:K22"/>
    <mergeCell ref="I11:K11"/>
  </mergeCells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2:R255"/>
  <sheetViews>
    <sheetView zoomScale="85" zoomScaleNormal="85" zoomScalePageLayoutView="85" workbookViewId="0">
      <selection activeCell="G178" sqref="G178"/>
    </sheetView>
  </sheetViews>
  <sheetFormatPr baseColWidth="10" defaultRowHeight="16" x14ac:dyDescent="0.2"/>
  <cols>
    <col min="1" max="1" width="17.5" customWidth="1"/>
    <col min="2" max="2" width="14.1640625" customWidth="1"/>
    <col min="3" max="3" width="16" customWidth="1"/>
    <col min="4" max="4" width="15.6640625" customWidth="1"/>
    <col min="9" max="9" width="16.5" bestFit="1" customWidth="1"/>
    <col min="10" max="10" width="17" customWidth="1"/>
    <col min="11" max="11" width="15.5" customWidth="1"/>
    <col min="12" max="12" width="16.83203125" customWidth="1"/>
    <col min="13" max="13" width="14.6640625" customWidth="1"/>
    <col min="14" max="14" width="16.1640625" customWidth="1"/>
    <col min="19" max="19" width="16.5" bestFit="1" customWidth="1"/>
  </cols>
  <sheetData>
    <row r="2" spans="1:18" ht="18" x14ac:dyDescent="0.2">
      <c r="A2" s="53" t="s">
        <v>822</v>
      </c>
      <c r="B2" s="14"/>
    </row>
    <row r="4" spans="1:18" ht="18" x14ac:dyDescent="0.2">
      <c r="A4" s="14" t="s">
        <v>1042</v>
      </c>
      <c r="B4" s="14"/>
      <c r="C4" s="14"/>
      <c r="D4" s="14"/>
      <c r="E4" s="14"/>
      <c r="F4" s="181"/>
      <c r="G4" s="181"/>
      <c r="H4" s="181"/>
      <c r="I4" s="66"/>
      <c r="J4" s="66"/>
    </row>
    <row r="5" spans="1:18" ht="19" x14ac:dyDescent="0.25">
      <c r="A5" s="109"/>
      <c r="B5" s="9"/>
      <c r="C5" s="9"/>
      <c r="D5" s="9"/>
      <c r="E5" s="9"/>
    </row>
    <row r="6" spans="1:18" ht="19" x14ac:dyDescent="0.25">
      <c r="A6" s="109"/>
      <c r="B6" s="52"/>
      <c r="C6" s="9"/>
      <c r="D6" s="9"/>
      <c r="E6" s="9"/>
    </row>
    <row r="7" spans="1:18" x14ac:dyDescent="0.2">
      <c r="A7" s="9"/>
      <c r="B7" s="9"/>
      <c r="C7" s="9"/>
      <c r="D7" s="9"/>
      <c r="E7" s="9"/>
    </row>
    <row r="8" spans="1:18" x14ac:dyDescent="0.2">
      <c r="A8" s="9"/>
      <c r="B8" s="9" t="s">
        <v>179</v>
      </c>
      <c r="C8" s="9"/>
      <c r="D8" s="9"/>
      <c r="E8" s="9"/>
      <c r="I8" s="9" t="s">
        <v>180</v>
      </c>
    </row>
    <row r="9" spans="1:18" x14ac:dyDescent="0.2">
      <c r="A9" s="9"/>
      <c r="B9" s="9"/>
      <c r="C9" s="9"/>
      <c r="D9" s="9"/>
      <c r="E9" s="9"/>
    </row>
    <row r="10" spans="1:18" ht="14.5" customHeight="1" x14ac:dyDescent="0.2">
      <c r="A10" s="9"/>
      <c r="B10" s="517" t="s">
        <v>598</v>
      </c>
      <c r="C10" s="518"/>
      <c r="D10" s="519"/>
      <c r="I10" s="517" t="s">
        <v>598</v>
      </c>
      <c r="J10" s="518"/>
      <c r="K10" s="518"/>
      <c r="L10" s="518"/>
      <c r="M10" s="519"/>
    </row>
    <row r="11" spans="1:18" x14ac:dyDescent="0.2">
      <c r="B11" s="103" t="s">
        <v>810</v>
      </c>
      <c r="C11" s="221" t="s">
        <v>808</v>
      </c>
      <c r="D11" s="221" t="s">
        <v>809</v>
      </c>
      <c r="E11" s="252"/>
      <c r="F11" s="252"/>
      <c r="I11" s="103" t="s">
        <v>810</v>
      </c>
      <c r="J11" s="221" t="s">
        <v>808</v>
      </c>
      <c r="K11" s="221" t="s">
        <v>809</v>
      </c>
      <c r="L11" s="69" t="s">
        <v>811</v>
      </c>
      <c r="M11" s="69" t="s">
        <v>812</v>
      </c>
      <c r="O11" s="9"/>
      <c r="P11" s="9"/>
      <c r="Q11" s="9"/>
      <c r="R11" s="252"/>
    </row>
    <row r="12" spans="1:18" x14ac:dyDescent="0.2">
      <c r="B12" s="253" t="s">
        <v>333</v>
      </c>
      <c r="C12" s="17">
        <f>J12/L12*100</f>
        <v>10.833333333333334</v>
      </c>
      <c r="D12" s="17">
        <f>K12/L12*100</f>
        <v>3.3333333333333335</v>
      </c>
      <c r="I12" s="253" t="s">
        <v>333</v>
      </c>
      <c r="J12" s="223">
        <v>13</v>
      </c>
      <c r="K12" s="223">
        <v>4</v>
      </c>
      <c r="L12" s="17">
        <v>120</v>
      </c>
      <c r="M12" s="223">
        <f>L12/1</f>
        <v>120</v>
      </c>
      <c r="O12" s="9"/>
      <c r="P12" s="9"/>
      <c r="Q12" s="9"/>
      <c r="R12" s="9"/>
    </row>
    <row r="13" spans="1:18" x14ac:dyDescent="0.2">
      <c r="B13" s="253" t="s">
        <v>334</v>
      </c>
      <c r="C13" s="17">
        <f>J13/L13*100</f>
        <v>11.76470588235294</v>
      </c>
      <c r="D13" s="17">
        <f>K13/L13*100</f>
        <v>4.4117647058823533</v>
      </c>
      <c r="I13" s="253" t="s">
        <v>334</v>
      </c>
      <c r="J13" s="223">
        <v>8</v>
      </c>
      <c r="K13" s="223">
        <v>3</v>
      </c>
      <c r="L13" s="17">
        <v>68</v>
      </c>
      <c r="M13" s="223">
        <f>L13/2</f>
        <v>34</v>
      </c>
      <c r="R13" s="9"/>
    </row>
    <row r="14" spans="1:18" x14ac:dyDescent="0.2">
      <c r="B14" s="61" t="s">
        <v>813</v>
      </c>
      <c r="C14" s="55">
        <f>J14/L14*100</f>
        <v>16.666666666666664</v>
      </c>
      <c r="D14" s="55">
        <f>K14/L14*100</f>
        <v>0</v>
      </c>
      <c r="E14" s="66"/>
      <c r="F14" s="66"/>
      <c r="G14" s="66"/>
      <c r="H14" s="66"/>
      <c r="I14" s="61" t="s">
        <v>813</v>
      </c>
      <c r="J14" s="55">
        <v>1</v>
      </c>
      <c r="K14" s="55">
        <v>0</v>
      </c>
      <c r="L14" s="55">
        <v>6</v>
      </c>
      <c r="M14" s="214">
        <f>L14/3</f>
        <v>2</v>
      </c>
    </row>
    <row r="15" spans="1:18" x14ac:dyDescent="0.2">
      <c r="B15" s="61" t="s">
        <v>584</v>
      </c>
      <c r="C15" s="55">
        <v>0</v>
      </c>
      <c r="D15" s="55">
        <v>0</v>
      </c>
      <c r="E15" s="66"/>
      <c r="F15" s="66"/>
      <c r="G15" s="66"/>
      <c r="H15" s="66"/>
      <c r="I15" s="61" t="s">
        <v>584</v>
      </c>
      <c r="J15" s="55">
        <v>0</v>
      </c>
      <c r="K15" s="55">
        <v>0</v>
      </c>
      <c r="L15" s="55">
        <v>0</v>
      </c>
      <c r="M15" s="214">
        <f>L15/4</f>
        <v>0</v>
      </c>
    </row>
    <row r="16" spans="1:18" x14ac:dyDescent="0.2"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</row>
    <row r="17" spans="2:15" x14ac:dyDescent="0.2"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O17" s="9"/>
    </row>
    <row r="18" spans="2:15" x14ac:dyDescent="0.2">
      <c r="B18" s="517" t="s">
        <v>599</v>
      </c>
      <c r="C18" s="518"/>
      <c r="D18" s="519"/>
      <c r="E18" s="66"/>
      <c r="F18" s="66"/>
      <c r="G18" s="66"/>
      <c r="H18" s="66"/>
      <c r="I18" s="517" t="s">
        <v>599</v>
      </c>
      <c r="J18" s="518"/>
      <c r="K18" s="518"/>
      <c r="L18" s="518"/>
      <c r="M18" s="519"/>
    </row>
    <row r="19" spans="2:15" x14ac:dyDescent="0.2">
      <c r="B19" s="59" t="s">
        <v>810</v>
      </c>
      <c r="C19" s="256" t="s">
        <v>808</v>
      </c>
      <c r="D19" s="256" t="s">
        <v>809</v>
      </c>
      <c r="E19" s="257"/>
      <c r="F19" s="66"/>
      <c r="G19" s="66"/>
      <c r="H19" s="66"/>
      <c r="I19" s="59" t="s">
        <v>810</v>
      </c>
      <c r="J19" s="256" t="s">
        <v>808</v>
      </c>
      <c r="K19" s="256" t="s">
        <v>809</v>
      </c>
      <c r="L19" s="60" t="s">
        <v>811</v>
      </c>
      <c r="M19" s="60" t="s">
        <v>812</v>
      </c>
    </row>
    <row r="20" spans="2:15" x14ac:dyDescent="0.2">
      <c r="B20" s="61" t="s">
        <v>333</v>
      </c>
      <c r="C20" s="55">
        <f>J20/L20*100</f>
        <v>12.745098039215685</v>
      </c>
      <c r="D20" s="55">
        <f>K20/L20*100</f>
        <v>1.9607843137254901</v>
      </c>
      <c r="E20" s="42"/>
      <c r="F20" s="66"/>
      <c r="G20" s="66"/>
      <c r="H20" s="66"/>
      <c r="I20" s="61" t="s">
        <v>333</v>
      </c>
      <c r="J20" s="214">
        <v>13</v>
      </c>
      <c r="K20" s="214">
        <v>2</v>
      </c>
      <c r="L20" s="55">
        <v>102</v>
      </c>
      <c r="M20" s="214">
        <f>L20/1</f>
        <v>102</v>
      </c>
    </row>
    <row r="21" spans="2:15" x14ac:dyDescent="0.2">
      <c r="B21" s="61" t="s">
        <v>334</v>
      </c>
      <c r="C21" s="55">
        <f>J21/L21*100</f>
        <v>11.904761904761903</v>
      </c>
      <c r="D21" s="55">
        <f>K21/L21*100</f>
        <v>4.7619047619047619</v>
      </c>
      <c r="E21" s="42"/>
      <c r="F21" s="42"/>
      <c r="G21" s="66"/>
      <c r="H21" s="66"/>
      <c r="I21" s="61" t="s">
        <v>334</v>
      </c>
      <c r="J21" s="214">
        <v>5</v>
      </c>
      <c r="K21" s="214">
        <v>2</v>
      </c>
      <c r="L21" s="55">
        <v>42</v>
      </c>
      <c r="M21" s="214">
        <f>L21/2</f>
        <v>21</v>
      </c>
    </row>
    <row r="22" spans="2:15" x14ac:dyDescent="0.2">
      <c r="B22" s="61" t="s">
        <v>813</v>
      </c>
      <c r="C22" s="55">
        <f>J22/L22*100</f>
        <v>16.666666666666664</v>
      </c>
      <c r="D22" s="55">
        <f>K22/L22*100</f>
        <v>0</v>
      </c>
      <c r="E22" s="66"/>
      <c r="F22" s="66"/>
      <c r="G22" s="66"/>
      <c r="H22" s="66"/>
      <c r="I22" s="61" t="s">
        <v>813</v>
      </c>
      <c r="J22" s="55">
        <v>1</v>
      </c>
      <c r="K22" s="55">
        <v>0</v>
      </c>
      <c r="L22" s="55">
        <v>6</v>
      </c>
      <c r="M22" s="214">
        <f>L22/3</f>
        <v>2</v>
      </c>
    </row>
    <row r="23" spans="2:15" x14ac:dyDescent="0.2">
      <c r="B23" s="61" t="s">
        <v>584</v>
      </c>
      <c r="C23" s="55">
        <v>0</v>
      </c>
      <c r="D23" s="55">
        <v>0</v>
      </c>
      <c r="E23" s="66"/>
      <c r="F23" s="66"/>
      <c r="G23" s="66"/>
      <c r="H23" s="66"/>
      <c r="I23" s="61" t="s">
        <v>584</v>
      </c>
      <c r="J23" s="55">
        <v>0</v>
      </c>
      <c r="K23" s="55">
        <v>0</v>
      </c>
      <c r="L23" s="55">
        <v>0</v>
      </c>
      <c r="M23" s="214">
        <f>L23/4</f>
        <v>0</v>
      </c>
    </row>
    <row r="24" spans="2:15" x14ac:dyDescent="0.2">
      <c r="B24" s="259"/>
      <c r="C24" s="42"/>
      <c r="D24" s="260"/>
      <c r="E24" s="42"/>
      <c r="F24" s="66"/>
      <c r="G24" s="42"/>
      <c r="H24" s="260"/>
      <c r="I24" s="260"/>
      <c r="J24" s="66"/>
      <c r="K24" s="66"/>
      <c r="L24" s="66"/>
      <c r="M24" s="66"/>
    </row>
    <row r="25" spans="2:15" x14ac:dyDescent="0.2">
      <c r="B25" s="259"/>
      <c r="C25" s="42"/>
      <c r="D25" s="260"/>
      <c r="E25" s="42"/>
      <c r="F25" s="42"/>
      <c r="G25" s="42"/>
      <c r="H25" s="260"/>
      <c r="I25" s="260"/>
      <c r="J25" s="66"/>
      <c r="K25" s="66"/>
      <c r="L25" s="66"/>
      <c r="M25" s="66"/>
    </row>
    <row r="26" spans="2:15" x14ac:dyDescent="0.2">
      <c r="B26" s="517" t="s">
        <v>600</v>
      </c>
      <c r="C26" s="518"/>
      <c r="D26" s="519"/>
      <c r="E26" s="66"/>
      <c r="F26" s="66"/>
      <c r="G26" s="66"/>
      <c r="H26" s="66"/>
      <c r="I26" s="517" t="s">
        <v>600</v>
      </c>
      <c r="J26" s="518"/>
      <c r="K26" s="518"/>
      <c r="L26" s="518"/>
      <c r="M26" s="519"/>
    </row>
    <row r="27" spans="2:15" x14ac:dyDescent="0.2">
      <c r="B27" s="59" t="s">
        <v>810</v>
      </c>
      <c r="C27" s="256" t="s">
        <v>808</v>
      </c>
      <c r="D27" s="256" t="s">
        <v>809</v>
      </c>
      <c r="E27" s="257"/>
      <c r="F27" s="257"/>
      <c r="G27" s="66"/>
      <c r="H27" s="66"/>
      <c r="I27" s="59" t="s">
        <v>810</v>
      </c>
      <c r="J27" s="258" t="s">
        <v>808</v>
      </c>
      <c r="K27" s="258" t="s">
        <v>809</v>
      </c>
      <c r="L27" s="60" t="s">
        <v>811</v>
      </c>
      <c r="M27" s="60" t="s">
        <v>812</v>
      </c>
      <c r="O27" s="48"/>
    </row>
    <row r="28" spans="2:15" x14ac:dyDescent="0.2">
      <c r="B28" s="61" t="s">
        <v>333</v>
      </c>
      <c r="C28" s="55">
        <f>J28/L28*100</f>
        <v>10.526315789473683</v>
      </c>
      <c r="D28" s="55">
        <f>K28/L28*100</f>
        <v>2.6315789473684208</v>
      </c>
      <c r="E28" s="42"/>
      <c r="F28" s="42"/>
      <c r="G28" s="66"/>
      <c r="H28" s="66"/>
      <c r="I28" s="61" t="s">
        <v>333</v>
      </c>
      <c r="J28" s="214">
        <v>4</v>
      </c>
      <c r="K28" s="214">
        <v>1</v>
      </c>
      <c r="L28" s="55">
        <v>38</v>
      </c>
      <c r="M28" s="214">
        <f>L28/1</f>
        <v>38</v>
      </c>
      <c r="O28" s="9"/>
    </row>
    <row r="29" spans="2:15" x14ac:dyDescent="0.2">
      <c r="B29" s="61" t="s">
        <v>334</v>
      </c>
      <c r="C29" s="55">
        <f>J29/L29*100</f>
        <v>10</v>
      </c>
      <c r="D29" s="55">
        <f>K29/L29*100</f>
        <v>0</v>
      </c>
      <c r="E29" s="42"/>
      <c r="F29" s="42"/>
      <c r="G29" s="66"/>
      <c r="H29" s="66"/>
      <c r="I29" s="61" t="s">
        <v>334</v>
      </c>
      <c r="J29" s="214">
        <v>2</v>
      </c>
      <c r="K29" s="214">
        <v>0</v>
      </c>
      <c r="L29" s="55">
        <v>20</v>
      </c>
      <c r="M29" s="214">
        <f>L29/2</f>
        <v>10</v>
      </c>
    </row>
    <row r="30" spans="2:15" x14ac:dyDescent="0.2">
      <c r="B30" s="61" t="s">
        <v>813</v>
      </c>
      <c r="C30" s="55">
        <f>J30/L30*100</f>
        <v>16.666666666666664</v>
      </c>
      <c r="D30" s="55">
        <f>K30/L30*100</f>
        <v>0</v>
      </c>
      <c r="E30" s="66"/>
      <c r="F30" s="66"/>
      <c r="G30" s="66"/>
      <c r="H30" s="66"/>
      <c r="I30" s="61" t="s">
        <v>813</v>
      </c>
      <c r="J30" s="55">
        <v>1</v>
      </c>
      <c r="K30" s="55">
        <v>0</v>
      </c>
      <c r="L30" s="55">
        <v>6</v>
      </c>
      <c r="M30" s="214">
        <f>L30/3</f>
        <v>2</v>
      </c>
    </row>
    <row r="31" spans="2:15" x14ac:dyDescent="0.2">
      <c r="B31" s="61" t="s">
        <v>584</v>
      </c>
      <c r="C31" s="55">
        <v>0</v>
      </c>
      <c r="D31" s="55">
        <v>0</v>
      </c>
      <c r="E31" s="66"/>
      <c r="F31" s="66"/>
      <c r="G31" s="66"/>
      <c r="H31" s="66"/>
      <c r="I31" s="61" t="s">
        <v>584</v>
      </c>
      <c r="J31" s="55">
        <v>0</v>
      </c>
      <c r="K31" s="55">
        <v>0</v>
      </c>
      <c r="L31" s="55">
        <v>0</v>
      </c>
      <c r="M31" s="214">
        <f>L31/4</f>
        <v>0</v>
      </c>
    </row>
    <row r="32" spans="2:15" x14ac:dyDescent="0.2"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</row>
    <row r="33" spans="2:13" x14ac:dyDescent="0.2"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</row>
    <row r="34" spans="2:13" x14ac:dyDescent="0.2">
      <c r="B34" s="527" t="s">
        <v>194</v>
      </c>
      <c r="C34" s="527"/>
      <c r="D34" s="527"/>
      <c r="E34" s="66"/>
      <c r="F34" s="66"/>
      <c r="G34" s="66"/>
      <c r="H34" s="66"/>
      <c r="I34" s="527" t="s">
        <v>194</v>
      </c>
      <c r="J34" s="527"/>
      <c r="K34" s="527"/>
      <c r="L34" s="527"/>
      <c r="M34" s="527"/>
    </row>
    <row r="35" spans="2:13" x14ac:dyDescent="0.2">
      <c r="B35" s="59" t="s">
        <v>810</v>
      </c>
      <c r="C35" s="256" t="s">
        <v>808</v>
      </c>
      <c r="D35" s="256" t="s">
        <v>809</v>
      </c>
      <c r="E35" s="257"/>
      <c r="F35" s="257"/>
      <c r="G35" s="66"/>
      <c r="H35" s="66"/>
      <c r="I35" s="59" t="s">
        <v>810</v>
      </c>
      <c r="J35" s="256" t="s">
        <v>808</v>
      </c>
      <c r="K35" s="256" t="s">
        <v>809</v>
      </c>
      <c r="L35" s="60" t="s">
        <v>811</v>
      </c>
      <c r="M35" s="60" t="s">
        <v>812</v>
      </c>
    </row>
    <row r="36" spans="2:13" x14ac:dyDescent="0.2">
      <c r="B36" s="61" t="s">
        <v>333</v>
      </c>
      <c r="C36" s="55">
        <f>J36/L36*100</f>
        <v>24</v>
      </c>
      <c r="D36" s="55">
        <f>K36/L36*100</f>
        <v>0</v>
      </c>
      <c r="E36" s="42"/>
      <c r="F36" s="66"/>
      <c r="G36" s="66"/>
      <c r="H36" s="66"/>
      <c r="I36" s="61" t="s">
        <v>333</v>
      </c>
      <c r="J36" s="214">
        <v>6</v>
      </c>
      <c r="K36" s="214">
        <v>0</v>
      </c>
      <c r="L36" s="55">
        <v>25</v>
      </c>
      <c r="M36" s="214">
        <f>L36/1</f>
        <v>25</v>
      </c>
    </row>
    <row r="37" spans="2:13" x14ac:dyDescent="0.2">
      <c r="B37" s="61" t="s">
        <v>334</v>
      </c>
      <c r="C37" s="55">
        <f>J37/L37*100</f>
        <v>0</v>
      </c>
      <c r="D37" s="55">
        <f>K37/L37*100</f>
        <v>17.857142857142858</v>
      </c>
      <c r="E37" s="42"/>
      <c r="F37" s="66"/>
      <c r="G37" s="66"/>
      <c r="H37" s="66"/>
      <c r="I37" s="61" t="s">
        <v>334</v>
      </c>
      <c r="J37" s="214">
        <v>0</v>
      </c>
      <c r="K37" s="214">
        <v>5</v>
      </c>
      <c r="L37" s="55">
        <v>28</v>
      </c>
      <c r="M37" s="214">
        <f>L37/2</f>
        <v>14</v>
      </c>
    </row>
    <row r="38" spans="2:13" x14ac:dyDescent="0.2">
      <c r="B38" s="61" t="s">
        <v>813</v>
      </c>
      <c r="C38" s="55">
        <f>J38/L38*100</f>
        <v>8.3333333333333321</v>
      </c>
      <c r="D38" s="55">
        <f>K38/L38*100</f>
        <v>13.888888888888889</v>
      </c>
      <c r="E38" s="66"/>
      <c r="F38" s="66"/>
      <c r="G38" s="66"/>
      <c r="H38" s="66"/>
      <c r="I38" s="61" t="s">
        <v>813</v>
      </c>
      <c r="J38" s="263">
        <v>3</v>
      </c>
      <c r="K38" s="263">
        <v>5</v>
      </c>
      <c r="L38" s="263">
        <v>36</v>
      </c>
      <c r="M38" s="214">
        <f>L38/3</f>
        <v>12</v>
      </c>
    </row>
    <row r="39" spans="2:13" x14ac:dyDescent="0.2">
      <c r="B39" s="61" t="s">
        <v>584</v>
      </c>
      <c r="C39" s="55">
        <f>J39/L39*100</f>
        <v>5.5555555555555554</v>
      </c>
      <c r="D39" s="55">
        <f>K39/L39*100</f>
        <v>27.777777777777779</v>
      </c>
      <c r="E39" s="66"/>
      <c r="F39" s="66"/>
      <c r="G39" s="66"/>
      <c r="H39" s="66"/>
      <c r="I39" s="61" t="s">
        <v>584</v>
      </c>
      <c r="J39" s="55">
        <v>2</v>
      </c>
      <c r="K39" s="55">
        <v>10</v>
      </c>
      <c r="L39" s="55">
        <v>36</v>
      </c>
      <c r="M39" s="214">
        <f>L39/4</f>
        <v>9</v>
      </c>
    </row>
    <row r="40" spans="2:13" x14ac:dyDescent="0.2"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</row>
    <row r="41" spans="2:13" x14ac:dyDescent="0.2"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</row>
    <row r="42" spans="2:13" x14ac:dyDescent="0.2">
      <c r="B42" s="527" t="s">
        <v>195</v>
      </c>
      <c r="C42" s="527"/>
      <c r="D42" s="527"/>
      <c r="E42" s="66"/>
      <c r="F42" s="66"/>
      <c r="G42" s="66"/>
      <c r="H42" s="66"/>
      <c r="I42" s="527" t="s">
        <v>195</v>
      </c>
      <c r="J42" s="527"/>
      <c r="K42" s="527"/>
      <c r="L42" s="527"/>
      <c r="M42" s="527"/>
    </row>
    <row r="43" spans="2:13" x14ac:dyDescent="0.2">
      <c r="B43" s="59" t="s">
        <v>810</v>
      </c>
      <c r="C43" s="256" t="s">
        <v>808</v>
      </c>
      <c r="D43" s="256" t="s">
        <v>809</v>
      </c>
      <c r="E43" s="257"/>
      <c r="F43" s="257"/>
      <c r="G43" s="66"/>
      <c r="H43" s="66"/>
      <c r="I43" s="59" t="s">
        <v>810</v>
      </c>
      <c r="J43" s="256" t="s">
        <v>808</v>
      </c>
      <c r="K43" s="256" t="s">
        <v>809</v>
      </c>
      <c r="L43" s="60" t="s">
        <v>811</v>
      </c>
      <c r="M43" s="60" t="s">
        <v>812</v>
      </c>
    </row>
    <row r="44" spans="2:13" x14ac:dyDescent="0.2">
      <c r="B44" s="61" t="s">
        <v>333</v>
      </c>
      <c r="C44" s="55">
        <f>J44/L44*100</f>
        <v>25.581395348837212</v>
      </c>
      <c r="D44" s="55">
        <f>K44/L44*100</f>
        <v>0</v>
      </c>
      <c r="E44" s="42"/>
      <c r="F44" s="42"/>
      <c r="G44" s="66"/>
      <c r="H44" s="66"/>
      <c r="I44" s="61" t="s">
        <v>333</v>
      </c>
      <c r="J44" s="214">
        <v>22</v>
      </c>
      <c r="K44" s="214">
        <v>0</v>
      </c>
      <c r="L44" s="55">
        <v>86</v>
      </c>
      <c r="M44" s="214">
        <f>L44/1</f>
        <v>86</v>
      </c>
    </row>
    <row r="45" spans="2:13" x14ac:dyDescent="0.2">
      <c r="B45" s="61" t="s">
        <v>334</v>
      </c>
      <c r="C45" s="55">
        <f>J45/L45*100</f>
        <v>0</v>
      </c>
      <c r="D45" s="55">
        <f>K45/L45*100</f>
        <v>25</v>
      </c>
      <c r="E45" s="42"/>
      <c r="F45" s="42"/>
      <c r="G45" s="66"/>
      <c r="H45" s="66"/>
      <c r="I45" s="61" t="s">
        <v>334</v>
      </c>
      <c r="J45" s="263">
        <v>0</v>
      </c>
      <c r="K45" s="263">
        <v>4</v>
      </c>
      <c r="L45" s="263">
        <v>16</v>
      </c>
      <c r="M45" s="214">
        <f>L45/2</f>
        <v>8</v>
      </c>
    </row>
    <row r="46" spans="2:13" x14ac:dyDescent="0.2">
      <c r="B46" s="61" t="s">
        <v>813</v>
      </c>
      <c r="C46" s="55">
        <f>J46/L46*100</f>
        <v>8.3333333333333321</v>
      </c>
      <c r="D46" s="55">
        <f>K46/L46*100</f>
        <v>16.666666666666664</v>
      </c>
      <c r="E46" s="66"/>
      <c r="F46" s="66"/>
      <c r="G46" s="66"/>
      <c r="H46" s="66"/>
      <c r="I46" s="61" t="s">
        <v>813</v>
      </c>
      <c r="J46" s="55">
        <v>2</v>
      </c>
      <c r="K46" s="55">
        <v>4</v>
      </c>
      <c r="L46" s="55">
        <v>24</v>
      </c>
      <c r="M46" s="214">
        <f>L46/3</f>
        <v>8</v>
      </c>
    </row>
    <row r="47" spans="2:13" x14ac:dyDescent="0.2">
      <c r="B47" s="61" t="s">
        <v>584</v>
      </c>
      <c r="C47" s="55">
        <f>J47/L47*100</f>
        <v>8.3333333333333321</v>
      </c>
      <c r="D47" s="55">
        <f>K47/L47*100</f>
        <v>33.333333333333329</v>
      </c>
      <c r="E47" s="66"/>
      <c r="F47" s="66"/>
      <c r="G47" s="66"/>
      <c r="H47" s="66"/>
      <c r="I47" s="61" t="s">
        <v>584</v>
      </c>
      <c r="J47" s="55">
        <v>2</v>
      </c>
      <c r="K47" s="55">
        <v>8</v>
      </c>
      <c r="L47" s="55">
        <v>24</v>
      </c>
      <c r="M47" s="214">
        <f>L47/4</f>
        <v>6</v>
      </c>
    </row>
    <row r="48" spans="2:13" x14ac:dyDescent="0.2">
      <c r="B48" s="259"/>
      <c r="C48" s="42"/>
      <c r="D48" s="260"/>
      <c r="E48" s="42"/>
      <c r="F48" s="42"/>
      <c r="G48" s="42"/>
      <c r="H48" s="260"/>
      <c r="I48" s="260"/>
      <c r="J48" s="66"/>
      <c r="K48" s="66"/>
      <c r="L48" s="66"/>
      <c r="M48" s="66"/>
    </row>
    <row r="49" spans="2:13" x14ac:dyDescent="0.2">
      <c r="B49" s="259"/>
      <c r="C49" s="42"/>
      <c r="D49" s="260"/>
      <c r="E49" s="42"/>
      <c r="F49" s="42"/>
      <c r="G49" s="42"/>
      <c r="H49" s="260"/>
      <c r="I49" s="260"/>
      <c r="J49" s="66"/>
      <c r="K49" s="66"/>
      <c r="L49" s="66"/>
      <c r="M49" s="66"/>
    </row>
    <row r="50" spans="2:13" x14ac:dyDescent="0.2">
      <c r="B50" s="517" t="s">
        <v>196</v>
      </c>
      <c r="C50" s="518"/>
      <c r="D50" s="519"/>
      <c r="E50" s="66"/>
      <c r="F50" s="66"/>
      <c r="G50" s="66"/>
      <c r="H50" s="66"/>
      <c r="I50" s="527" t="s">
        <v>196</v>
      </c>
      <c r="J50" s="527"/>
      <c r="K50" s="527"/>
      <c r="L50" s="527"/>
      <c r="M50" s="527"/>
    </row>
    <row r="51" spans="2:13" x14ac:dyDescent="0.2">
      <c r="B51" s="59" t="s">
        <v>810</v>
      </c>
      <c r="C51" s="256" t="s">
        <v>808</v>
      </c>
      <c r="D51" s="256" t="s">
        <v>809</v>
      </c>
      <c r="E51" s="257"/>
      <c r="F51" s="257"/>
      <c r="G51" s="66"/>
      <c r="H51" s="66"/>
      <c r="I51" s="59" t="s">
        <v>810</v>
      </c>
      <c r="J51" s="256" t="s">
        <v>808</v>
      </c>
      <c r="K51" s="256" t="s">
        <v>809</v>
      </c>
      <c r="L51" s="60" t="s">
        <v>811</v>
      </c>
      <c r="M51" s="60" t="s">
        <v>812</v>
      </c>
    </row>
    <row r="52" spans="2:13" x14ac:dyDescent="0.2">
      <c r="B52" s="61" t="s">
        <v>333</v>
      </c>
      <c r="C52" s="55">
        <f>J52/L52*100</f>
        <v>25.373134328358208</v>
      </c>
      <c r="D52" s="55">
        <f>K52/L52*100</f>
        <v>0</v>
      </c>
      <c r="E52" s="42"/>
      <c r="F52" s="42"/>
      <c r="G52" s="66"/>
      <c r="H52" s="66"/>
      <c r="I52" s="61" t="s">
        <v>333</v>
      </c>
      <c r="J52" s="55">
        <v>17</v>
      </c>
      <c r="K52" s="55">
        <v>0</v>
      </c>
      <c r="L52" s="55">
        <v>67</v>
      </c>
      <c r="M52" s="214">
        <f>L52/1</f>
        <v>67</v>
      </c>
    </row>
    <row r="53" spans="2:13" x14ac:dyDescent="0.2">
      <c r="B53" s="61" t="s">
        <v>334</v>
      </c>
      <c r="C53" s="55">
        <f>J53/L53*100</f>
        <v>0</v>
      </c>
      <c r="D53" s="55">
        <f>K53/L53*100</f>
        <v>35</v>
      </c>
      <c r="E53" s="42"/>
      <c r="F53" s="42"/>
      <c r="G53" s="66"/>
      <c r="H53" s="66"/>
      <c r="I53" s="61" t="s">
        <v>334</v>
      </c>
      <c r="J53" s="214">
        <v>0</v>
      </c>
      <c r="K53" s="214">
        <v>7</v>
      </c>
      <c r="L53" s="55">
        <v>20</v>
      </c>
      <c r="M53" s="214">
        <f>L53/2</f>
        <v>10</v>
      </c>
    </row>
    <row r="54" spans="2:13" x14ac:dyDescent="0.2">
      <c r="B54" s="61" t="s">
        <v>813</v>
      </c>
      <c r="C54" s="55">
        <f>J54/L54*100</f>
        <v>11.111111111111111</v>
      </c>
      <c r="D54" s="55">
        <f>K54/L54*100</f>
        <v>11.111111111111111</v>
      </c>
      <c r="E54" s="66"/>
      <c r="F54" s="66"/>
      <c r="G54" s="66"/>
      <c r="H54" s="66"/>
      <c r="I54" s="61" t="s">
        <v>813</v>
      </c>
      <c r="J54" s="55">
        <v>3</v>
      </c>
      <c r="K54" s="55">
        <v>3</v>
      </c>
      <c r="L54" s="55">
        <v>27</v>
      </c>
      <c r="M54" s="214">
        <f>L54/3</f>
        <v>9</v>
      </c>
    </row>
    <row r="55" spans="2:13" x14ac:dyDescent="0.2">
      <c r="B55" s="61" t="s">
        <v>584</v>
      </c>
      <c r="C55" s="55">
        <f>J55/L55*100</f>
        <v>12.5</v>
      </c>
      <c r="D55" s="55">
        <f>K55/L55*100</f>
        <v>31.25</v>
      </c>
      <c r="E55" s="66"/>
      <c r="F55" s="66"/>
      <c r="G55" s="66"/>
      <c r="H55" s="66"/>
      <c r="I55" s="61" t="s">
        <v>584</v>
      </c>
      <c r="J55" s="55">
        <v>2</v>
      </c>
      <c r="K55" s="55">
        <v>5</v>
      </c>
      <c r="L55" s="55">
        <v>16</v>
      </c>
      <c r="M55" s="214">
        <f>L55/4</f>
        <v>4</v>
      </c>
    </row>
    <row r="56" spans="2:13" x14ac:dyDescent="0.2"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</row>
    <row r="57" spans="2:13" x14ac:dyDescent="0.2"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</row>
    <row r="58" spans="2:13" x14ac:dyDescent="0.2">
      <c r="B58" s="517" t="s">
        <v>197</v>
      </c>
      <c r="C58" s="518"/>
      <c r="D58" s="519"/>
      <c r="E58" s="66"/>
      <c r="F58" s="66"/>
      <c r="G58" s="66"/>
      <c r="H58" s="66"/>
      <c r="I58" s="527" t="s">
        <v>197</v>
      </c>
      <c r="J58" s="527"/>
      <c r="K58" s="527"/>
      <c r="L58" s="527"/>
      <c r="M58" s="527"/>
    </row>
    <row r="59" spans="2:13" x14ac:dyDescent="0.2">
      <c r="B59" s="59" t="s">
        <v>810</v>
      </c>
      <c r="C59" s="256" t="s">
        <v>808</v>
      </c>
      <c r="D59" s="256" t="s">
        <v>809</v>
      </c>
      <c r="E59" s="257"/>
      <c r="F59" s="257"/>
      <c r="G59" s="66"/>
      <c r="H59" s="66"/>
      <c r="I59" s="59" t="s">
        <v>810</v>
      </c>
      <c r="J59" s="256" t="s">
        <v>808</v>
      </c>
      <c r="K59" s="256" t="s">
        <v>809</v>
      </c>
      <c r="L59" s="60" t="s">
        <v>811</v>
      </c>
      <c r="M59" s="60" t="s">
        <v>812</v>
      </c>
    </row>
    <row r="60" spans="2:13" x14ac:dyDescent="0.2">
      <c r="B60" s="61" t="s">
        <v>333</v>
      </c>
      <c r="C60" s="55">
        <f>J60/L60*100</f>
        <v>20</v>
      </c>
      <c r="D60" s="55">
        <f>K60/L60*100</f>
        <v>0</v>
      </c>
      <c r="E60" s="42"/>
      <c r="F60" s="66"/>
      <c r="G60" s="66"/>
      <c r="H60" s="66"/>
      <c r="I60" s="61" t="s">
        <v>333</v>
      </c>
      <c r="J60" s="214">
        <v>4</v>
      </c>
      <c r="K60" s="214">
        <v>0</v>
      </c>
      <c r="L60" s="55">
        <v>20</v>
      </c>
      <c r="M60" s="214">
        <f>L60/1</f>
        <v>20</v>
      </c>
    </row>
    <row r="61" spans="2:13" x14ac:dyDescent="0.2">
      <c r="B61" s="61" t="s">
        <v>334</v>
      </c>
      <c r="C61" s="55">
        <f>J61/L61*100</f>
        <v>11.111111111111111</v>
      </c>
      <c r="D61" s="55">
        <f>K61/L61*100</f>
        <v>11.111111111111111</v>
      </c>
      <c r="E61" s="42"/>
      <c r="F61" s="66"/>
      <c r="G61" s="66"/>
      <c r="H61" s="66"/>
      <c r="I61" s="61" t="s">
        <v>334</v>
      </c>
      <c r="J61" s="214">
        <v>2</v>
      </c>
      <c r="K61" s="214">
        <v>2</v>
      </c>
      <c r="L61" s="55">
        <v>18</v>
      </c>
      <c r="M61" s="214">
        <f>L61/2</f>
        <v>9</v>
      </c>
    </row>
    <row r="62" spans="2:13" x14ac:dyDescent="0.2">
      <c r="B62" s="61" t="s">
        <v>813</v>
      </c>
      <c r="C62" s="55">
        <f>J62/L62*100</f>
        <v>11.111111111111111</v>
      </c>
      <c r="D62" s="55">
        <f>K62/L62*100</f>
        <v>22.222222222222221</v>
      </c>
      <c r="E62" s="66"/>
      <c r="F62" s="66"/>
      <c r="G62" s="66"/>
      <c r="H62" s="66"/>
      <c r="I62" s="61" t="s">
        <v>813</v>
      </c>
      <c r="J62" s="55">
        <v>1</v>
      </c>
      <c r="K62" s="55">
        <v>2</v>
      </c>
      <c r="L62" s="55">
        <v>9</v>
      </c>
      <c r="M62" s="214">
        <f>L62/3</f>
        <v>3</v>
      </c>
    </row>
    <row r="63" spans="2:13" x14ac:dyDescent="0.2">
      <c r="B63" s="61" t="s">
        <v>584</v>
      </c>
      <c r="C63" s="55">
        <f>J63/L63*100</f>
        <v>8.3333333333333321</v>
      </c>
      <c r="D63" s="55">
        <f>K63/L63*100</f>
        <v>33.333333333333329</v>
      </c>
      <c r="E63" s="66"/>
      <c r="F63" s="66"/>
      <c r="G63" s="66"/>
      <c r="H63" s="66"/>
      <c r="I63" s="61" t="s">
        <v>584</v>
      </c>
      <c r="J63" s="55">
        <v>1</v>
      </c>
      <c r="K63" s="55">
        <v>4</v>
      </c>
      <c r="L63" s="55">
        <v>12</v>
      </c>
      <c r="M63" s="214">
        <f>L63/4</f>
        <v>3</v>
      </c>
    </row>
    <row r="64" spans="2:13" x14ac:dyDescent="0.2"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</row>
    <row r="65" spans="2:13" x14ac:dyDescent="0.2"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</row>
    <row r="66" spans="2:13" x14ac:dyDescent="0.2">
      <c r="B66" s="194"/>
      <c r="C66" s="195" t="s">
        <v>198</v>
      </c>
      <c r="D66" s="196"/>
      <c r="E66" s="66"/>
      <c r="F66" s="66"/>
      <c r="G66" s="66"/>
      <c r="H66" s="66"/>
      <c r="I66" s="191"/>
      <c r="J66" s="192"/>
      <c r="K66" s="191" t="s">
        <v>198</v>
      </c>
      <c r="L66" s="192"/>
      <c r="M66" s="193"/>
    </row>
    <row r="67" spans="2:13" x14ac:dyDescent="0.2">
      <c r="B67" s="59" t="s">
        <v>810</v>
      </c>
      <c r="C67" s="256" t="s">
        <v>808</v>
      </c>
      <c r="D67" s="256" t="s">
        <v>809</v>
      </c>
      <c r="E67" s="257"/>
      <c r="F67" s="257"/>
      <c r="G67" s="66"/>
      <c r="H67" s="66"/>
      <c r="I67" s="59" t="s">
        <v>810</v>
      </c>
      <c r="J67" s="258" t="s">
        <v>808</v>
      </c>
      <c r="K67" s="258" t="s">
        <v>809</v>
      </c>
      <c r="L67" s="60" t="s">
        <v>811</v>
      </c>
      <c r="M67" s="60" t="s">
        <v>812</v>
      </c>
    </row>
    <row r="68" spans="2:13" x14ac:dyDescent="0.2">
      <c r="B68" s="61" t="s">
        <v>333</v>
      </c>
      <c r="C68" s="55">
        <f>J68/L68*100</f>
        <v>21.428571428571427</v>
      </c>
      <c r="D68" s="55">
        <f>K68/L68*100</f>
        <v>0</v>
      </c>
      <c r="E68" s="42"/>
      <c r="F68" s="42"/>
      <c r="G68" s="66"/>
      <c r="H68" s="66"/>
      <c r="I68" s="61" t="s">
        <v>333</v>
      </c>
      <c r="J68" s="214">
        <v>18</v>
      </c>
      <c r="K68" s="214">
        <v>0</v>
      </c>
      <c r="L68" s="55">
        <v>84</v>
      </c>
      <c r="M68" s="214">
        <f>L68/1</f>
        <v>84</v>
      </c>
    </row>
    <row r="69" spans="2:13" x14ac:dyDescent="0.2">
      <c r="B69" s="61" t="s">
        <v>334</v>
      </c>
      <c r="C69" s="55">
        <f>J69/L69*100</f>
        <v>7.1428571428571423</v>
      </c>
      <c r="D69" s="55">
        <f>K69/L69*100</f>
        <v>7.1428571428571423</v>
      </c>
      <c r="E69" s="42"/>
      <c r="F69" s="42"/>
      <c r="G69" s="66"/>
      <c r="H69" s="66"/>
      <c r="I69" s="61" t="s">
        <v>334</v>
      </c>
      <c r="J69" s="214">
        <v>1</v>
      </c>
      <c r="K69" s="214">
        <v>1</v>
      </c>
      <c r="L69" s="55">
        <v>14</v>
      </c>
      <c r="M69" s="214">
        <f>L69/2</f>
        <v>7</v>
      </c>
    </row>
    <row r="70" spans="2:13" x14ac:dyDescent="0.2">
      <c r="B70" s="61" t="s">
        <v>813</v>
      </c>
      <c r="C70" s="55">
        <f>J70/L70*100</f>
        <v>4.7619047619047619</v>
      </c>
      <c r="D70" s="55">
        <f>K70/L70*100</f>
        <v>14.285714285714285</v>
      </c>
      <c r="E70" s="66"/>
      <c r="F70" s="66"/>
      <c r="G70" s="66"/>
      <c r="H70" s="66"/>
      <c r="I70" s="61" t="s">
        <v>813</v>
      </c>
      <c r="J70" s="55">
        <v>1</v>
      </c>
      <c r="K70" s="55">
        <v>3</v>
      </c>
      <c r="L70" s="55">
        <v>21</v>
      </c>
      <c r="M70" s="214">
        <f>L70/3</f>
        <v>7</v>
      </c>
    </row>
    <row r="71" spans="2:13" x14ac:dyDescent="0.2">
      <c r="B71" s="61" t="s">
        <v>584</v>
      </c>
      <c r="C71" s="55">
        <f>J71/L71*100</f>
        <v>4.1666666666666661</v>
      </c>
      <c r="D71" s="55">
        <f>K71/L71*100</f>
        <v>33.333333333333329</v>
      </c>
      <c r="E71" s="66"/>
      <c r="F71" s="66"/>
      <c r="G71" s="66"/>
      <c r="H71" s="66"/>
      <c r="I71" s="61" t="s">
        <v>584</v>
      </c>
      <c r="J71" s="55">
        <v>1</v>
      </c>
      <c r="K71" s="55">
        <v>8</v>
      </c>
      <c r="L71" s="55">
        <v>24</v>
      </c>
      <c r="M71" s="214">
        <f>L71/4</f>
        <v>6</v>
      </c>
    </row>
    <row r="72" spans="2:13" x14ac:dyDescent="0.2"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6"/>
      <c r="M72" s="66"/>
    </row>
    <row r="73" spans="2:13" x14ac:dyDescent="0.2"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6"/>
      <c r="M73" s="66"/>
    </row>
    <row r="74" spans="2:13" x14ac:dyDescent="0.2">
      <c r="B74" s="517" t="s">
        <v>199</v>
      </c>
      <c r="C74" s="518"/>
      <c r="D74" s="519"/>
      <c r="E74" s="66"/>
      <c r="F74" s="66"/>
      <c r="G74" s="66"/>
      <c r="H74" s="66"/>
      <c r="I74" s="517" t="s">
        <v>199</v>
      </c>
      <c r="J74" s="518"/>
      <c r="K74" s="518"/>
      <c r="L74" s="518"/>
      <c r="M74" s="519"/>
    </row>
    <row r="75" spans="2:13" x14ac:dyDescent="0.2">
      <c r="B75" s="59" t="s">
        <v>810</v>
      </c>
      <c r="C75" s="256" t="s">
        <v>808</v>
      </c>
      <c r="D75" s="256" t="s">
        <v>809</v>
      </c>
      <c r="E75" s="257"/>
      <c r="F75" s="257"/>
      <c r="G75" s="66"/>
      <c r="H75" s="66"/>
      <c r="I75" s="59" t="s">
        <v>810</v>
      </c>
      <c r="J75" s="256" t="s">
        <v>808</v>
      </c>
      <c r="K75" s="256" t="s">
        <v>809</v>
      </c>
      <c r="L75" s="60" t="s">
        <v>811</v>
      </c>
      <c r="M75" s="60" t="s">
        <v>812</v>
      </c>
    </row>
    <row r="76" spans="2:13" x14ac:dyDescent="0.2">
      <c r="B76" s="61" t="s">
        <v>333</v>
      </c>
      <c r="C76" s="55">
        <f>J76/L76*100</f>
        <v>20.967741935483872</v>
      </c>
      <c r="D76" s="55">
        <f>K76/L76*100</f>
        <v>0</v>
      </c>
      <c r="E76" s="42"/>
      <c r="F76" s="42"/>
      <c r="G76" s="66"/>
      <c r="H76" s="66"/>
      <c r="I76" s="61" t="s">
        <v>333</v>
      </c>
      <c r="J76" s="214">
        <v>13</v>
      </c>
      <c r="K76" s="214">
        <v>0</v>
      </c>
      <c r="L76" s="55">
        <v>62</v>
      </c>
      <c r="M76" s="214">
        <f>L76/1</f>
        <v>62</v>
      </c>
    </row>
    <row r="77" spans="2:13" x14ac:dyDescent="0.2">
      <c r="B77" s="61" t="s">
        <v>334</v>
      </c>
      <c r="C77" s="55">
        <f>J77/L77*100</f>
        <v>7.1428571428571423</v>
      </c>
      <c r="D77" s="55">
        <f>K77/L77*100</f>
        <v>7.1428571428571423</v>
      </c>
      <c r="E77" s="42"/>
      <c r="F77" s="42"/>
      <c r="G77" s="66"/>
      <c r="H77" s="66"/>
      <c r="I77" s="61" t="s">
        <v>334</v>
      </c>
      <c r="J77" s="214">
        <v>2</v>
      </c>
      <c r="K77" s="214">
        <v>2</v>
      </c>
      <c r="L77" s="55">
        <v>28</v>
      </c>
      <c r="M77" s="214">
        <f>L77/2</f>
        <v>14</v>
      </c>
    </row>
    <row r="78" spans="2:13" x14ac:dyDescent="0.2">
      <c r="B78" s="61" t="s">
        <v>813</v>
      </c>
      <c r="C78" s="55">
        <f>J78/L78*100</f>
        <v>3.7037037037037033</v>
      </c>
      <c r="D78" s="55">
        <f>K78/L78*100</f>
        <v>14.814814814814813</v>
      </c>
      <c r="E78" s="66"/>
      <c r="F78" s="66"/>
      <c r="G78" s="66"/>
      <c r="H78" s="66"/>
      <c r="I78" s="61" t="s">
        <v>813</v>
      </c>
      <c r="J78" s="55">
        <v>1</v>
      </c>
      <c r="K78" s="55">
        <v>4</v>
      </c>
      <c r="L78" s="55">
        <v>27</v>
      </c>
      <c r="M78" s="214">
        <f>L78/3</f>
        <v>9</v>
      </c>
    </row>
    <row r="79" spans="2:13" x14ac:dyDescent="0.2">
      <c r="B79" s="61" t="s">
        <v>584</v>
      </c>
      <c r="C79" s="55">
        <f>J79/L79*100</f>
        <v>6.25</v>
      </c>
      <c r="D79" s="55">
        <f>K79/L79*100</f>
        <v>31.25</v>
      </c>
      <c r="E79" s="66"/>
      <c r="F79" s="66"/>
      <c r="G79" s="66"/>
      <c r="H79" s="66"/>
      <c r="I79" s="61" t="s">
        <v>584</v>
      </c>
      <c r="J79" s="55">
        <v>1</v>
      </c>
      <c r="K79" s="55">
        <v>5</v>
      </c>
      <c r="L79" s="55">
        <v>16</v>
      </c>
      <c r="M79" s="214">
        <f>L79/4</f>
        <v>4</v>
      </c>
    </row>
    <row r="80" spans="2:13" x14ac:dyDescent="0.2"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6"/>
      <c r="M80" s="66"/>
    </row>
    <row r="81" spans="2:13" x14ac:dyDescent="0.2"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</row>
    <row r="82" spans="2:13" x14ac:dyDescent="0.2">
      <c r="B82" s="517" t="s">
        <v>200</v>
      </c>
      <c r="C82" s="518"/>
      <c r="D82" s="519"/>
      <c r="E82" s="66"/>
      <c r="F82" s="66"/>
      <c r="G82" s="66"/>
      <c r="H82" s="66"/>
      <c r="I82" s="517" t="s">
        <v>200</v>
      </c>
      <c r="J82" s="518"/>
      <c r="K82" s="518"/>
      <c r="L82" s="518"/>
      <c r="M82" s="519"/>
    </row>
    <row r="83" spans="2:13" x14ac:dyDescent="0.2">
      <c r="B83" s="59" t="s">
        <v>810</v>
      </c>
      <c r="C83" s="256" t="s">
        <v>808</v>
      </c>
      <c r="D83" s="256" t="s">
        <v>809</v>
      </c>
      <c r="E83" s="257"/>
      <c r="F83" s="66"/>
      <c r="G83" s="66"/>
      <c r="H83" s="66"/>
      <c r="I83" s="59" t="s">
        <v>810</v>
      </c>
      <c r="J83" s="256" t="s">
        <v>808</v>
      </c>
      <c r="K83" s="256" t="s">
        <v>809</v>
      </c>
      <c r="L83" s="60" t="s">
        <v>811</v>
      </c>
      <c r="M83" s="60" t="s">
        <v>812</v>
      </c>
    </row>
    <row r="84" spans="2:13" x14ac:dyDescent="0.2">
      <c r="B84" s="61" t="s">
        <v>333</v>
      </c>
      <c r="C84" s="55">
        <f>J84/L84*100</f>
        <v>22.666666666666664</v>
      </c>
      <c r="D84" s="55">
        <f>K84/L84*100</f>
        <v>0</v>
      </c>
      <c r="E84" s="42"/>
      <c r="F84" s="66"/>
      <c r="G84" s="66"/>
      <c r="H84" s="66"/>
      <c r="I84" s="61" t="s">
        <v>333</v>
      </c>
      <c r="J84" s="214">
        <v>17</v>
      </c>
      <c r="K84" s="214">
        <v>0</v>
      </c>
      <c r="L84" s="55">
        <v>75</v>
      </c>
      <c r="M84" s="214">
        <f>L84/1</f>
        <v>75</v>
      </c>
    </row>
    <row r="85" spans="2:13" x14ac:dyDescent="0.2">
      <c r="B85" s="61" t="s">
        <v>334</v>
      </c>
      <c r="C85" s="55">
        <f>J85/L85*100</f>
        <v>13.636363636363635</v>
      </c>
      <c r="D85" s="55">
        <f>K85/L85*100</f>
        <v>9.0909090909090917</v>
      </c>
      <c r="E85" s="42"/>
      <c r="F85" s="66"/>
      <c r="G85" s="66"/>
      <c r="H85" s="66"/>
      <c r="I85" s="61" t="s">
        <v>334</v>
      </c>
      <c r="J85" s="214">
        <v>3</v>
      </c>
      <c r="K85" s="214">
        <v>2</v>
      </c>
      <c r="L85" s="55">
        <v>22</v>
      </c>
      <c r="M85" s="214">
        <f>L85/2</f>
        <v>11</v>
      </c>
    </row>
    <row r="86" spans="2:13" x14ac:dyDescent="0.2">
      <c r="B86" s="61" t="s">
        <v>813</v>
      </c>
      <c r="C86" s="55">
        <f>J86/L86*100</f>
        <v>11.111111111111111</v>
      </c>
      <c r="D86" s="55">
        <f>K86/L86*100</f>
        <v>11.111111111111111</v>
      </c>
      <c r="E86" s="66"/>
      <c r="F86" s="66"/>
      <c r="G86" s="66"/>
      <c r="H86" s="66"/>
      <c r="I86" s="61" t="s">
        <v>813</v>
      </c>
      <c r="J86" s="55">
        <v>1</v>
      </c>
      <c r="K86" s="55">
        <v>1</v>
      </c>
      <c r="L86" s="55">
        <v>9</v>
      </c>
      <c r="M86" s="214">
        <f>L86/3</f>
        <v>3</v>
      </c>
    </row>
    <row r="87" spans="2:13" x14ac:dyDescent="0.2">
      <c r="B87" s="61" t="s">
        <v>584</v>
      </c>
      <c r="C87" s="55">
        <f>J87/L87*100</f>
        <v>8.3333333333333321</v>
      </c>
      <c r="D87" s="55">
        <f>K87/L87*100</f>
        <v>25</v>
      </c>
      <c r="E87" s="66"/>
      <c r="F87" s="66"/>
      <c r="G87" s="66"/>
      <c r="H87" s="66"/>
      <c r="I87" s="61" t="s">
        <v>584</v>
      </c>
      <c r="J87" s="55">
        <v>2</v>
      </c>
      <c r="K87" s="55">
        <v>6</v>
      </c>
      <c r="L87" s="55">
        <v>24</v>
      </c>
      <c r="M87" s="214">
        <f>L87/4</f>
        <v>6</v>
      </c>
    </row>
    <row r="88" spans="2:13" x14ac:dyDescent="0.2"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66"/>
      <c r="M88" s="66"/>
    </row>
    <row r="89" spans="2:13" x14ac:dyDescent="0.2"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66"/>
      <c r="M89" s="66"/>
    </row>
    <row r="90" spans="2:13" x14ac:dyDescent="0.2">
      <c r="B90" s="517" t="s">
        <v>201</v>
      </c>
      <c r="C90" s="518"/>
      <c r="D90" s="519"/>
      <c r="E90" s="66"/>
      <c r="F90" s="66"/>
      <c r="G90" s="66"/>
      <c r="H90" s="66"/>
      <c r="I90" s="517" t="s">
        <v>201</v>
      </c>
      <c r="J90" s="518"/>
      <c r="K90" s="518"/>
      <c r="L90" s="518"/>
      <c r="M90" s="519"/>
    </row>
    <row r="91" spans="2:13" x14ac:dyDescent="0.2">
      <c r="B91" s="59" t="s">
        <v>810</v>
      </c>
      <c r="C91" s="256" t="s">
        <v>808</v>
      </c>
      <c r="D91" s="256" t="s">
        <v>809</v>
      </c>
      <c r="E91" s="257"/>
      <c r="F91" s="257"/>
      <c r="G91" s="66"/>
      <c r="H91" s="66"/>
      <c r="I91" s="59" t="s">
        <v>810</v>
      </c>
      <c r="J91" s="256" t="s">
        <v>808</v>
      </c>
      <c r="K91" s="256" t="s">
        <v>809</v>
      </c>
      <c r="L91" s="60" t="s">
        <v>811</v>
      </c>
      <c r="M91" s="60" t="s">
        <v>812</v>
      </c>
    </row>
    <row r="92" spans="2:13" x14ac:dyDescent="0.2">
      <c r="B92" s="61" t="s">
        <v>333</v>
      </c>
      <c r="C92" s="55">
        <f>J92/L92*100</f>
        <v>26.530612244897959</v>
      </c>
      <c r="D92" s="55">
        <f>K92/L92*100</f>
        <v>0</v>
      </c>
      <c r="E92" s="42"/>
      <c r="F92" s="42"/>
      <c r="G92" s="66"/>
      <c r="H92" s="66"/>
      <c r="I92" s="61" t="s">
        <v>333</v>
      </c>
      <c r="J92" s="214">
        <v>13</v>
      </c>
      <c r="K92" s="214">
        <v>0</v>
      </c>
      <c r="L92" s="55">
        <v>49</v>
      </c>
      <c r="M92" s="214">
        <f>L92/1</f>
        <v>49</v>
      </c>
    </row>
    <row r="93" spans="2:13" x14ac:dyDescent="0.2">
      <c r="B93" s="61" t="s">
        <v>334</v>
      </c>
      <c r="C93" s="55">
        <f>J93/L93*100</f>
        <v>11.538461538461538</v>
      </c>
      <c r="D93" s="55">
        <f>K93/L93*100</f>
        <v>15.384615384615385</v>
      </c>
      <c r="E93" s="42"/>
      <c r="F93" s="42"/>
      <c r="G93" s="66"/>
      <c r="H93" s="66"/>
      <c r="I93" s="61" t="s">
        <v>334</v>
      </c>
      <c r="J93" s="214">
        <v>3</v>
      </c>
      <c r="K93" s="214">
        <v>4</v>
      </c>
      <c r="L93" s="55">
        <v>26</v>
      </c>
      <c r="M93" s="214">
        <f>L93/2</f>
        <v>13</v>
      </c>
    </row>
    <row r="94" spans="2:13" x14ac:dyDescent="0.2">
      <c r="B94" s="61" t="s">
        <v>813</v>
      </c>
      <c r="C94" s="55">
        <f>J94/L94*100</f>
        <v>14.285714285714285</v>
      </c>
      <c r="D94" s="55">
        <f>K94/L94*100</f>
        <v>14.285714285714285</v>
      </c>
      <c r="E94" s="66"/>
      <c r="F94" s="66"/>
      <c r="G94" s="66"/>
      <c r="H94" s="66"/>
      <c r="I94" s="61" t="s">
        <v>813</v>
      </c>
      <c r="J94" s="55">
        <v>3</v>
      </c>
      <c r="K94" s="55">
        <v>3</v>
      </c>
      <c r="L94" s="55">
        <v>21</v>
      </c>
      <c r="M94" s="214">
        <f>L94/3</f>
        <v>7</v>
      </c>
    </row>
    <row r="95" spans="2:13" x14ac:dyDescent="0.2">
      <c r="B95" s="61" t="s">
        <v>584</v>
      </c>
      <c r="C95" s="55">
        <f>J95/L95*100</f>
        <v>6.25</v>
      </c>
      <c r="D95" s="55">
        <f>K95/L95*100</f>
        <v>25</v>
      </c>
      <c r="E95" s="66"/>
      <c r="F95" s="66"/>
      <c r="G95" s="66"/>
      <c r="H95" s="66"/>
      <c r="I95" s="61" t="s">
        <v>584</v>
      </c>
      <c r="J95" s="55">
        <v>1</v>
      </c>
      <c r="K95" s="55">
        <v>4</v>
      </c>
      <c r="L95" s="55">
        <v>16</v>
      </c>
      <c r="M95" s="214">
        <f>L95/4</f>
        <v>4</v>
      </c>
    </row>
    <row r="96" spans="2:13" x14ac:dyDescent="0.2"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66"/>
    </row>
    <row r="97" spans="1:13" x14ac:dyDescent="0.2"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</row>
    <row r="98" spans="1:13" x14ac:dyDescent="0.2">
      <c r="B98" s="517" t="s">
        <v>202</v>
      </c>
      <c r="C98" s="518"/>
      <c r="D98" s="519"/>
      <c r="E98" s="66"/>
      <c r="F98" s="66"/>
      <c r="G98" s="66"/>
      <c r="H98" s="66"/>
      <c r="I98" s="517" t="s">
        <v>202</v>
      </c>
      <c r="J98" s="518"/>
      <c r="K98" s="518"/>
      <c r="L98" s="518"/>
      <c r="M98" s="519"/>
    </row>
    <row r="99" spans="1:13" x14ac:dyDescent="0.2">
      <c r="B99" s="59" t="s">
        <v>810</v>
      </c>
      <c r="C99" s="256" t="s">
        <v>808</v>
      </c>
      <c r="D99" s="256" t="s">
        <v>809</v>
      </c>
      <c r="E99" s="257"/>
      <c r="F99" s="257"/>
      <c r="G99" s="66"/>
      <c r="H99" s="66"/>
      <c r="I99" s="59" t="s">
        <v>810</v>
      </c>
      <c r="J99" s="256" t="s">
        <v>808</v>
      </c>
      <c r="K99" s="256" t="s">
        <v>809</v>
      </c>
      <c r="L99" s="60" t="s">
        <v>811</v>
      </c>
      <c r="M99" s="60" t="s">
        <v>812</v>
      </c>
    </row>
    <row r="100" spans="1:13" x14ac:dyDescent="0.2">
      <c r="B100" s="61" t="s">
        <v>333</v>
      </c>
      <c r="C100" s="55">
        <f>J100/L100*100</f>
        <v>26.190476190476193</v>
      </c>
      <c r="D100" s="55">
        <f>K100/L100*100</f>
        <v>0</v>
      </c>
      <c r="E100" s="42"/>
      <c r="F100" s="42"/>
      <c r="G100" s="66"/>
      <c r="H100" s="66"/>
      <c r="I100" s="61" t="s">
        <v>333</v>
      </c>
      <c r="J100" s="214">
        <v>11</v>
      </c>
      <c r="K100" s="214">
        <v>0</v>
      </c>
      <c r="L100" s="55">
        <v>42</v>
      </c>
      <c r="M100" s="214">
        <f>L100/1</f>
        <v>42</v>
      </c>
    </row>
    <row r="101" spans="1:13" x14ac:dyDescent="0.2">
      <c r="B101" s="61" t="s">
        <v>334</v>
      </c>
      <c r="C101" s="55">
        <f>J101/L101*100</f>
        <v>10.714285714285714</v>
      </c>
      <c r="D101" s="55">
        <f>K101/L101*100</f>
        <v>14.285714285714285</v>
      </c>
      <c r="E101" s="42"/>
      <c r="F101" s="42"/>
      <c r="G101" s="66"/>
      <c r="H101" s="66"/>
      <c r="I101" s="61" t="s">
        <v>334</v>
      </c>
      <c r="J101" s="214">
        <v>3</v>
      </c>
      <c r="K101" s="214">
        <v>4</v>
      </c>
      <c r="L101" s="55">
        <v>28</v>
      </c>
      <c r="M101" s="214">
        <f>L101/2</f>
        <v>14</v>
      </c>
    </row>
    <row r="102" spans="1:13" x14ac:dyDescent="0.2">
      <c r="B102" s="61" t="s">
        <v>813</v>
      </c>
      <c r="C102" s="55">
        <f>J102/L102*100</f>
        <v>13.333333333333334</v>
      </c>
      <c r="D102" s="55">
        <f>K102/L102*100</f>
        <v>13.333333333333334</v>
      </c>
      <c r="E102" s="66"/>
      <c r="F102" s="66"/>
      <c r="G102" s="66"/>
      <c r="H102" s="66"/>
      <c r="I102" s="61" t="s">
        <v>813</v>
      </c>
      <c r="J102" s="55">
        <v>4</v>
      </c>
      <c r="K102" s="55">
        <v>4</v>
      </c>
      <c r="L102" s="55">
        <v>30</v>
      </c>
      <c r="M102" s="214">
        <f>L102/3</f>
        <v>10</v>
      </c>
    </row>
    <row r="103" spans="1:13" x14ac:dyDescent="0.2">
      <c r="B103" s="61" t="s">
        <v>584</v>
      </c>
      <c r="C103" s="55">
        <f>J103/L103*100</f>
        <v>8.3333333333333321</v>
      </c>
      <c r="D103" s="55">
        <f>K103/L103*100</f>
        <v>25</v>
      </c>
      <c r="E103" s="66"/>
      <c r="F103" s="66"/>
      <c r="G103" s="66"/>
      <c r="H103" s="66"/>
      <c r="I103" s="61" t="s">
        <v>584</v>
      </c>
      <c r="J103" s="55">
        <v>2</v>
      </c>
      <c r="K103" s="55">
        <v>6</v>
      </c>
      <c r="L103" s="55">
        <v>24</v>
      </c>
      <c r="M103" s="214">
        <f>L103/4</f>
        <v>6</v>
      </c>
    </row>
    <row r="104" spans="1:13" x14ac:dyDescent="0.2">
      <c r="B104" s="136"/>
      <c r="C104" s="42"/>
      <c r="D104" s="42"/>
      <c r="E104" s="66"/>
      <c r="F104" s="66"/>
      <c r="G104" s="66"/>
      <c r="H104" s="66"/>
      <c r="I104" s="136"/>
      <c r="J104" s="42"/>
      <c r="K104" s="42"/>
      <c r="L104" s="42"/>
      <c r="M104" s="211"/>
    </row>
    <row r="105" spans="1:13" x14ac:dyDescent="0.2">
      <c r="A105" s="9" t="s">
        <v>51</v>
      </c>
      <c r="B105" s="528" t="s">
        <v>203</v>
      </c>
      <c r="C105" s="529"/>
      <c r="D105" s="530"/>
      <c r="E105" s="66"/>
      <c r="F105" s="66"/>
      <c r="G105" s="66"/>
      <c r="H105" s="66"/>
      <c r="I105" s="66"/>
      <c r="J105" s="66"/>
      <c r="K105" s="66"/>
      <c r="L105" s="66"/>
      <c r="M105" s="66"/>
    </row>
    <row r="106" spans="1:13" x14ac:dyDescent="0.2">
      <c r="B106" s="59" t="s">
        <v>810</v>
      </c>
      <c r="C106" s="256" t="s">
        <v>808</v>
      </c>
      <c r="D106" s="256" t="s">
        <v>809</v>
      </c>
      <c r="E106" s="66"/>
      <c r="F106" s="66"/>
      <c r="G106" s="66"/>
      <c r="H106" s="66"/>
      <c r="I106" s="59" t="s">
        <v>1043</v>
      </c>
      <c r="J106" s="60" t="s">
        <v>336</v>
      </c>
      <c r="K106" s="66"/>
      <c r="L106" s="66"/>
      <c r="M106" s="66"/>
    </row>
    <row r="107" spans="1:13" x14ac:dyDescent="0.2">
      <c r="B107" s="61" t="s">
        <v>333</v>
      </c>
      <c r="C107" s="55">
        <f t="shared" ref="C107:D110" si="0">AVERAGE(C12,C20,C28)</f>
        <v>11.368249054007569</v>
      </c>
      <c r="D107" s="55">
        <f t="shared" si="0"/>
        <v>2.6418988648090811</v>
      </c>
      <c r="E107" s="42"/>
      <c r="F107" s="66"/>
      <c r="G107" s="66"/>
      <c r="H107" s="66"/>
      <c r="I107" s="61" t="s">
        <v>203</v>
      </c>
      <c r="J107" s="261">
        <f>SUM(M12:M15,M20:M23,M28:M31)</f>
        <v>331</v>
      </c>
      <c r="K107" s="66"/>
      <c r="L107" s="66"/>
      <c r="M107" s="66"/>
    </row>
    <row r="108" spans="1:13" x14ac:dyDescent="0.2">
      <c r="B108" s="61" t="s">
        <v>334</v>
      </c>
      <c r="C108" s="55">
        <f t="shared" si="0"/>
        <v>11.223155929038279</v>
      </c>
      <c r="D108" s="55">
        <f t="shared" si="0"/>
        <v>3.0578898225957047</v>
      </c>
      <c r="E108" s="42"/>
      <c r="F108" s="66"/>
      <c r="G108" s="66"/>
      <c r="H108" s="66"/>
      <c r="I108" s="61" t="s">
        <v>2</v>
      </c>
      <c r="J108" s="261">
        <f>SUM(M36:M39,M44:M47,M52:M55)</f>
        <v>258</v>
      </c>
      <c r="K108" s="66"/>
      <c r="L108" s="66"/>
      <c r="M108" s="66"/>
    </row>
    <row r="109" spans="1:13" x14ac:dyDescent="0.2">
      <c r="B109" s="61" t="s">
        <v>813</v>
      </c>
      <c r="C109" s="55">
        <f t="shared" si="0"/>
        <v>16.666666666666664</v>
      </c>
      <c r="D109" s="55">
        <f t="shared" si="0"/>
        <v>0</v>
      </c>
      <c r="E109" s="66"/>
      <c r="F109" s="66"/>
      <c r="G109" s="66"/>
      <c r="H109" s="66"/>
      <c r="I109" s="61" t="s">
        <v>3</v>
      </c>
      <c r="J109" s="262">
        <f>SUM(M60:M63,M68:M71,M76:M79)</f>
        <v>228</v>
      </c>
      <c r="K109" s="66"/>
      <c r="L109" s="66"/>
      <c r="M109" s="66"/>
    </row>
    <row r="110" spans="1:13" x14ac:dyDescent="0.2">
      <c r="B110" s="61" t="s">
        <v>584</v>
      </c>
      <c r="C110" s="55">
        <f t="shared" si="0"/>
        <v>0</v>
      </c>
      <c r="D110" s="55">
        <f t="shared" si="0"/>
        <v>0</v>
      </c>
      <c r="E110" s="66"/>
      <c r="F110" s="66"/>
      <c r="G110" s="66"/>
      <c r="H110" s="66"/>
      <c r="I110" s="61" t="s">
        <v>4</v>
      </c>
      <c r="J110" s="55">
        <f>SUM(M84:M87,M92:M95,M100:M103)</f>
        <v>240</v>
      </c>
      <c r="K110" s="66"/>
      <c r="L110" s="66"/>
      <c r="M110" s="66"/>
    </row>
    <row r="111" spans="1:13" x14ac:dyDescent="0.2">
      <c r="B111" s="136"/>
      <c r="C111" s="42"/>
      <c r="D111" s="42"/>
      <c r="E111" s="66"/>
      <c r="F111" s="66"/>
      <c r="G111" s="66"/>
      <c r="H111" s="66"/>
      <c r="I111" s="66"/>
      <c r="J111" s="66"/>
      <c r="K111" s="66"/>
      <c r="L111" s="66"/>
      <c r="M111" s="66"/>
    </row>
    <row r="113" spans="1:4" x14ac:dyDescent="0.2">
      <c r="A113" s="9" t="s">
        <v>51</v>
      </c>
      <c r="B113" s="531" t="s">
        <v>2</v>
      </c>
      <c r="C113" s="531"/>
      <c r="D113" s="531"/>
    </row>
    <row r="114" spans="1:4" x14ac:dyDescent="0.2">
      <c r="B114" s="103" t="s">
        <v>810</v>
      </c>
      <c r="C114" s="221" t="s">
        <v>808</v>
      </c>
      <c r="D114" s="221" t="s">
        <v>809</v>
      </c>
    </row>
    <row r="115" spans="1:4" x14ac:dyDescent="0.2">
      <c r="B115" s="253" t="s">
        <v>333</v>
      </c>
      <c r="C115" s="17">
        <f t="shared" ref="C115:D118" si="1">AVERAGE(C36,C44,C52)</f>
        <v>24.984843225731808</v>
      </c>
      <c r="D115" s="17">
        <f t="shared" si="1"/>
        <v>0</v>
      </c>
    </row>
    <row r="116" spans="1:4" x14ac:dyDescent="0.2">
      <c r="B116" s="253" t="s">
        <v>334</v>
      </c>
      <c r="C116" s="17">
        <f t="shared" si="1"/>
        <v>0</v>
      </c>
      <c r="D116" s="17">
        <f t="shared" si="1"/>
        <v>25.952380952380953</v>
      </c>
    </row>
    <row r="117" spans="1:4" x14ac:dyDescent="0.2">
      <c r="B117" s="253" t="s">
        <v>813</v>
      </c>
      <c r="C117" s="17">
        <f t="shared" si="1"/>
        <v>9.2592592592592577</v>
      </c>
      <c r="D117" s="17">
        <f t="shared" si="1"/>
        <v>13.888888888888888</v>
      </c>
    </row>
    <row r="118" spans="1:4" x14ac:dyDescent="0.2">
      <c r="B118" s="253" t="s">
        <v>584</v>
      </c>
      <c r="C118" s="17">
        <f t="shared" si="1"/>
        <v>8.7962962962962958</v>
      </c>
      <c r="D118" s="17">
        <f t="shared" si="1"/>
        <v>30.787037037037038</v>
      </c>
    </row>
    <row r="119" spans="1:4" x14ac:dyDescent="0.2">
      <c r="B119" s="16"/>
      <c r="C119" s="9"/>
      <c r="D119" s="9"/>
    </row>
    <row r="120" spans="1:4" x14ac:dyDescent="0.2">
      <c r="B120" s="16"/>
      <c r="C120" s="9"/>
      <c r="D120" s="9"/>
    </row>
    <row r="121" spans="1:4" x14ac:dyDescent="0.2">
      <c r="A121" s="9" t="s">
        <v>51</v>
      </c>
      <c r="B121" s="531" t="s">
        <v>3</v>
      </c>
      <c r="C121" s="531"/>
      <c r="D121" s="531"/>
    </row>
    <row r="122" spans="1:4" x14ac:dyDescent="0.2">
      <c r="B122" s="103" t="s">
        <v>810</v>
      </c>
      <c r="C122" s="221" t="s">
        <v>808</v>
      </c>
      <c r="D122" s="221" t="s">
        <v>809</v>
      </c>
    </row>
    <row r="123" spans="1:4" x14ac:dyDescent="0.2">
      <c r="B123" s="253" t="s">
        <v>333</v>
      </c>
      <c r="C123" s="17">
        <f>AVERAGE(C60,C68,C76)</f>
        <v>20.798771121351766</v>
      </c>
      <c r="D123" s="17">
        <f>AVERAGE(D60,D68,D76)</f>
        <v>0</v>
      </c>
    </row>
    <row r="124" spans="1:4" x14ac:dyDescent="0.2">
      <c r="B124" s="253" t="s">
        <v>334</v>
      </c>
      <c r="C124" s="17">
        <f>AVERAGE(C61,C69,C77)</f>
        <v>8.4656084656084651</v>
      </c>
      <c r="D124" s="17">
        <f t="shared" ref="C124:D126" si="2">AVERAGE(D61,D69,D77)</f>
        <v>8.4656084656084651</v>
      </c>
    </row>
    <row r="125" spans="1:4" x14ac:dyDescent="0.2">
      <c r="B125" s="253" t="s">
        <v>813</v>
      </c>
      <c r="C125" s="55">
        <f t="shared" si="2"/>
        <v>6.5255731922398583</v>
      </c>
      <c r="D125" s="55">
        <f t="shared" si="2"/>
        <v>17.10758377425044</v>
      </c>
    </row>
    <row r="126" spans="1:4" x14ac:dyDescent="0.2">
      <c r="B126" s="253" t="s">
        <v>584</v>
      </c>
      <c r="C126" s="55">
        <f>AVERAGE(C63,C71,C79)</f>
        <v>6.25</v>
      </c>
      <c r="D126" s="55">
        <f t="shared" si="2"/>
        <v>32.638888888888886</v>
      </c>
    </row>
    <row r="127" spans="1:4" x14ac:dyDescent="0.2">
      <c r="B127" s="16"/>
      <c r="C127" s="42"/>
      <c r="D127" s="42"/>
    </row>
    <row r="128" spans="1:4" x14ac:dyDescent="0.2">
      <c r="B128" s="16"/>
      <c r="C128" s="42"/>
      <c r="D128" s="42"/>
    </row>
    <row r="129" spans="1:4" x14ac:dyDescent="0.2">
      <c r="A129" s="9" t="s">
        <v>51</v>
      </c>
      <c r="B129" s="531" t="s">
        <v>4</v>
      </c>
      <c r="C129" s="531"/>
      <c r="D129" s="531"/>
    </row>
    <row r="130" spans="1:4" x14ac:dyDescent="0.2">
      <c r="B130" s="103" t="s">
        <v>810</v>
      </c>
      <c r="C130" s="256" t="s">
        <v>808</v>
      </c>
      <c r="D130" s="256" t="s">
        <v>809</v>
      </c>
    </row>
    <row r="131" spans="1:4" x14ac:dyDescent="0.2">
      <c r="B131" s="253" t="s">
        <v>333</v>
      </c>
      <c r="C131" s="55">
        <f>AVERAGE(C84,C92,C100)</f>
        <v>25.129251700680271</v>
      </c>
      <c r="D131" s="55">
        <f t="shared" ref="C131:D134" si="3">AVERAGE(D84,D92,D100)</f>
        <v>0</v>
      </c>
    </row>
    <row r="132" spans="1:4" x14ac:dyDescent="0.2">
      <c r="B132" s="253" t="s">
        <v>334</v>
      </c>
      <c r="C132" s="55">
        <f t="shared" si="3"/>
        <v>11.963036963036963</v>
      </c>
      <c r="D132" s="55">
        <f t="shared" si="3"/>
        <v>12.92041292041292</v>
      </c>
    </row>
    <row r="133" spans="1:4" x14ac:dyDescent="0.2">
      <c r="B133" s="253" t="s">
        <v>813</v>
      </c>
      <c r="C133" s="55">
        <f>AVERAGE(C86,C94,C102)</f>
        <v>12.91005291005291</v>
      </c>
      <c r="D133" s="55">
        <f t="shared" si="3"/>
        <v>12.91005291005291</v>
      </c>
    </row>
    <row r="134" spans="1:4" x14ac:dyDescent="0.2">
      <c r="B134" s="253" t="s">
        <v>584</v>
      </c>
      <c r="C134" s="55">
        <f t="shared" si="3"/>
        <v>7.6388888888888884</v>
      </c>
      <c r="D134" s="55">
        <f t="shared" si="3"/>
        <v>25</v>
      </c>
    </row>
    <row r="135" spans="1:4" x14ac:dyDescent="0.2">
      <c r="B135" s="16"/>
      <c r="C135" s="42"/>
      <c r="D135" s="42"/>
    </row>
    <row r="137" spans="1:4" x14ac:dyDescent="0.2">
      <c r="A137" s="9" t="s">
        <v>13</v>
      </c>
      <c r="B137" s="531" t="s">
        <v>203</v>
      </c>
      <c r="C137" s="531"/>
      <c r="D137" s="531"/>
    </row>
    <row r="138" spans="1:4" x14ac:dyDescent="0.2">
      <c r="B138" s="103" t="s">
        <v>810</v>
      </c>
      <c r="C138" s="221" t="s">
        <v>808</v>
      </c>
      <c r="D138" s="221" t="s">
        <v>809</v>
      </c>
    </row>
    <row r="139" spans="1:4" x14ac:dyDescent="0.2">
      <c r="B139" s="253" t="s">
        <v>333</v>
      </c>
      <c r="C139" s="17">
        <f>STDEV(C12,C20,C28)</f>
        <v>1.2022270123029473</v>
      </c>
      <c r="D139" s="17">
        <f>STDEV(D12,D20,D28)</f>
        <v>0.68633270235986954</v>
      </c>
    </row>
    <row r="140" spans="1:4" x14ac:dyDescent="0.2">
      <c r="B140" s="253" t="s">
        <v>334</v>
      </c>
      <c r="C140" s="17">
        <f t="shared" ref="C140:D142" si="4">STDEV(C13,C21,C29)</f>
        <v>1.061596318008583</v>
      </c>
      <c r="D140" s="17">
        <f t="shared" si="4"/>
        <v>2.6539907950214605</v>
      </c>
    </row>
    <row r="141" spans="1:4" x14ac:dyDescent="0.2">
      <c r="B141" s="253" t="s">
        <v>813</v>
      </c>
      <c r="C141" s="17">
        <f t="shared" si="4"/>
        <v>0</v>
      </c>
      <c r="D141" s="17">
        <f t="shared" si="4"/>
        <v>0</v>
      </c>
    </row>
    <row r="142" spans="1:4" x14ac:dyDescent="0.2">
      <c r="B142" s="253" t="s">
        <v>584</v>
      </c>
      <c r="C142" s="17">
        <f t="shared" si="4"/>
        <v>0</v>
      </c>
      <c r="D142" s="17">
        <f t="shared" si="4"/>
        <v>0</v>
      </c>
    </row>
    <row r="144" spans="1:4" x14ac:dyDescent="0.2">
      <c r="A144" s="9" t="s">
        <v>13</v>
      </c>
      <c r="B144" s="531" t="s">
        <v>2</v>
      </c>
      <c r="C144" s="531"/>
      <c r="D144" s="531"/>
    </row>
    <row r="145" spans="1:4" x14ac:dyDescent="0.2">
      <c r="B145" s="103" t="s">
        <v>810</v>
      </c>
      <c r="C145" s="221" t="s">
        <v>808</v>
      </c>
      <c r="D145" s="221" t="s">
        <v>809</v>
      </c>
    </row>
    <row r="146" spans="1:4" x14ac:dyDescent="0.2">
      <c r="B146" s="253" t="s">
        <v>333</v>
      </c>
      <c r="C146" s="17">
        <f t="shared" ref="C146:D149" si="5">STDEV(C36,C44,C52)</f>
        <v>0.85923238859758544</v>
      </c>
      <c r="D146" s="17">
        <f t="shared" si="5"/>
        <v>0</v>
      </c>
    </row>
    <row r="147" spans="1:4" x14ac:dyDescent="0.2">
      <c r="B147" s="253" t="s">
        <v>334</v>
      </c>
      <c r="C147" s="17">
        <f t="shared" si="5"/>
        <v>0</v>
      </c>
      <c r="D147" s="17">
        <f t="shared" si="5"/>
        <v>8.6110196762024316</v>
      </c>
    </row>
    <row r="148" spans="1:4" x14ac:dyDescent="0.2">
      <c r="B148" s="253" t="s">
        <v>813</v>
      </c>
      <c r="C148" s="17">
        <f t="shared" si="5"/>
        <v>1.6037507477489636</v>
      </c>
      <c r="D148" s="17">
        <f t="shared" si="5"/>
        <v>2.7777777777777883</v>
      </c>
    </row>
    <row r="149" spans="1:4" x14ac:dyDescent="0.2">
      <c r="B149" s="253" t="s">
        <v>584</v>
      </c>
      <c r="C149" s="17">
        <f t="shared" si="5"/>
        <v>3.4952937200327581</v>
      </c>
      <c r="D149" s="17">
        <f t="shared" si="5"/>
        <v>2.8065638085606781</v>
      </c>
    </row>
    <row r="150" spans="1:4" x14ac:dyDescent="0.2">
      <c r="B150" s="16"/>
      <c r="C150" s="9"/>
      <c r="D150" s="9"/>
    </row>
    <row r="151" spans="1:4" x14ac:dyDescent="0.2">
      <c r="B151" s="16"/>
      <c r="C151" s="9"/>
      <c r="D151" s="9"/>
    </row>
    <row r="152" spans="1:4" x14ac:dyDescent="0.2">
      <c r="A152" s="9" t="s">
        <v>13</v>
      </c>
      <c r="B152" s="528" t="s">
        <v>3</v>
      </c>
      <c r="C152" s="529"/>
      <c r="D152" s="530"/>
    </row>
    <row r="153" spans="1:4" x14ac:dyDescent="0.2">
      <c r="B153" s="103" t="s">
        <v>810</v>
      </c>
      <c r="C153" s="221" t="s">
        <v>808</v>
      </c>
      <c r="D153" s="221" t="s">
        <v>809</v>
      </c>
    </row>
    <row r="154" spans="1:4" x14ac:dyDescent="0.2">
      <c r="B154" s="253" t="s">
        <v>333</v>
      </c>
      <c r="C154" s="17">
        <f t="shared" ref="C154:D157" si="6">STDEV(C60,C68,C76)</f>
        <v>0.72912100069467334</v>
      </c>
      <c r="D154" s="17">
        <f t="shared" si="6"/>
        <v>0</v>
      </c>
    </row>
    <row r="155" spans="1:4" x14ac:dyDescent="0.2">
      <c r="B155" s="253" t="s">
        <v>334</v>
      </c>
      <c r="C155" s="17">
        <f t="shared" si="6"/>
        <v>2.2910724967842322</v>
      </c>
      <c r="D155" s="17">
        <f t="shared" si="6"/>
        <v>2.2910724967842322</v>
      </c>
    </row>
    <row r="156" spans="1:4" x14ac:dyDescent="0.2">
      <c r="B156" s="253" t="s">
        <v>813</v>
      </c>
      <c r="C156" s="17">
        <f t="shared" si="6"/>
        <v>4.0062845473017799</v>
      </c>
      <c r="D156" s="17">
        <f t="shared" si="6"/>
        <v>4.4373000442360269</v>
      </c>
    </row>
    <row r="157" spans="1:4" x14ac:dyDescent="0.2">
      <c r="B157" s="253" t="s">
        <v>584</v>
      </c>
      <c r="C157" s="17">
        <f t="shared" si="6"/>
        <v>2.0833333333333317</v>
      </c>
      <c r="D157" s="17">
        <f t="shared" si="6"/>
        <v>1.2028130608117176</v>
      </c>
    </row>
    <row r="158" spans="1:4" x14ac:dyDescent="0.2">
      <c r="B158" s="16"/>
      <c r="C158" s="9"/>
      <c r="D158" s="9"/>
    </row>
    <row r="159" spans="1:4" x14ac:dyDescent="0.2">
      <c r="B159" s="16"/>
      <c r="C159" s="9"/>
      <c r="D159" s="9"/>
    </row>
    <row r="160" spans="1:4" x14ac:dyDescent="0.2">
      <c r="A160" s="9" t="s">
        <v>13</v>
      </c>
      <c r="B160" s="528" t="s">
        <v>4</v>
      </c>
      <c r="C160" s="529"/>
      <c r="D160" s="530"/>
    </row>
    <row r="161" spans="1:4" x14ac:dyDescent="0.2">
      <c r="B161" s="103" t="s">
        <v>810</v>
      </c>
      <c r="C161" s="221" t="s">
        <v>808</v>
      </c>
      <c r="D161" s="221" t="s">
        <v>809</v>
      </c>
    </row>
    <row r="162" spans="1:4" x14ac:dyDescent="0.2">
      <c r="B162" s="253" t="s">
        <v>333</v>
      </c>
      <c r="C162" s="17">
        <f t="shared" ref="C162:D165" si="7">STDEV(C84,C92,C100)</f>
        <v>2.139431448116591</v>
      </c>
      <c r="D162" s="17">
        <f t="shared" si="7"/>
        <v>0</v>
      </c>
    </row>
    <row r="163" spans="1:4" x14ac:dyDescent="0.2">
      <c r="B163" s="253" t="s">
        <v>334</v>
      </c>
      <c r="C163" s="17">
        <f t="shared" si="7"/>
        <v>1.5065965166689002</v>
      </c>
      <c r="D163" s="17">
        <f t="shared" si="7"/>
        <v>3.3616544425966648</v>
      </c>
    </row>
    <row r="164" spans="1:4" x14ac:dyDescent="0.2">
      <c r="B164" s="253" t="s">
        <v>813</v>
      </c>
      <c r="C164" s="17">
        <f t="shared" si="7"/>
        <v>1.6290798220466545</v>
      </c>
      <c r="D164" s="17">
        <f t="shared" si="7"/>
        <v>1.6290798220466545</v>
      </c>
    </row>
    <row r="165" spans="1:4" x14ac:dyDescent="0.2">
      <c r="B165" s="253" t="s">
        <v>584</v>
      </c>
      <c r="C165" s="17">
        <f t="shared" si="7"/>
        <v>1.2028130608117233</v>
      </c>
      <c r="D165" s="17">
        <f t="shared" si="7"/>
        <v>0</v>
      </c>
    </row>
    <row r="166" spans="1:4" x14ac:dyDescent="0.2">
      <c r="B166" s="16"/>
      <c r="C166" s="9"/>
      <c r="D166" s="9"/>
    </row>
    <row r="168" spans="1:4" x14ac:dyDescent="0.2">
      <c r="A168" s="9" t="s">
        <v>14</v>
      </c>
      <c r="B168" s="528" t="s">
        <v>1</v>
      </c>
      <c r="C168" s="529"/>
      <c r="D168" s="530"/>
    </row>
    <row r="169" spans="1:4" x14ac:dyDescent="0.2">
      <c r="B169" s="103" t="s">
        <v>810</v>
      </c>
      <c r="C169" s="221" t="s">
        <v>808</v>
      </c>
      <c r="D169" s="221" t="s">
        <v>809</v>
      </c>
    </row>
    <row r="170" spans="1:4" x14ac:dyDescent="0.2">
      <c r="B170" s="253" t="s">
        <v>333</v>
      </c>
      <c r="C170" s="45">
        <f>C139/(3^0.5)</f>
        <v>0.69410608918014616</v>
      </c>
      <c r="D170" s="45">
        <f>D139/(3^0.5)</f>
        <v>0.396254370461114</v>
      </c>
    </row>
    <row r="171" spans="1:4" x14ac:dyDescent="0.2">
      <c r="B171" s="253" t="s">
        <v>334</v>
      </c>
      <c r="C171" s="45">
        <f t="shared" ref="C171:D173" si="8">C140/(3^0.5)</f>
        <v>0.61291291997297104</v>
      </c>
      <c r="D171" s="45">
        <f t="shared" si="8"/>
        <v>1.5322822999324293</v>
      </c>
    </row>
    <row r="172" spans="1:4" x14ac:dyDescent="0.2">
      <c r="B172" s="253" t="s">
        <v>813</v>
      </c>
      <c r="C172" s="45">
        <f>C141/(3^0.5)</f>
        <v>0</v>
      </c>
      <c r="D172" s="45">
        <f t="shared" si="8"/>
        <v>0</v>
      </c>
    </row>
    <row r="173" spans="1:4" x14ac:dyDescent="0.2">
      <c r="B173" s="253" t="s">
        <v>584</v>
      </c>
      <c r="C173" s="45">
        <f t="shared" si="8"/>
        <v>0</v>
      </c>
      <c r="D173" s="45">
        <f t="shared" si="8"/>
        <v>0</v>
      </c>
    </row>
    <row r="174" spans="1:4" x14ac:dyDescent="0.2">
      <c r="B174" s="16"/>
      <c r="C174" s="255"/>
      <c r="D174" s="255"/>
    </row>
    <row r="175" spans="1:4" x14ac:dyDescent="0.2">
      <c r="B175" s="16"/>
      <c r="C175" s="255"/>
      <c r="D175" s="255"/>
    </row>
    <row r="176" spans="1:4" x14ac:dyDescent="0.2">
      <c r="A176" s="9" t="s">
        <v>14</v>
      </c>
      <c r="B176" s="528" t="s">
        <v>2</v>
      </c>
      <c r="C176" s="529"/>
      <c r="D176" s="530"/>
    </row>
    <row r="177" spans="1:4" x14ac:dyDescent="0.2">
      <c r="B177" s="103" t="s">
        <v>810</v>
      </c>
      <c r="C177" s="221" t="s">
        <v>808</v>
      </c>
      <c r="D177" s="221" t="s">
        <v>809</v>
      </c>
    </row>
    <row r="178" spans="1:4" x14ac:dyDescent="0.2">
      <c r="B178" s="253" t="s">
        <v>333</v>
      </c>
      <c r="C178" s="45">
        <f t="shared" ref="C178:D181" si="9">C146/(3^0.5)</f>
        <v>0.49607805085326112</v>
      </c>
      <c r="D178" s="45">
        <f t="shared" si="9"/>
        <v>0</v>
      </c>
    </row>
    <row r="179" spans="1:4" x14ac:dyDescent="0.2">
      <c r="B179" s="253" t="s">
        <v>334</v>
      </c>
      <c r="C179" s="45">
        <f t="shared" si="9"/>
        <v>0</v>
      </c>
      <c r="D179" s="45">
        <f t="shared" si="9"/>
        <v>4.9715745280526384</v>
      </c>
    </row>
    <row r="180" spans="1:4" x14ac:dyDescent="0.2">
      <c r="B180" s="253" t="s">
        <v>813</v>
      </c>
      <c r="C180" s="45">
        <f t="shared" si="9"/>
        <v>0.92592592592592782</v>
      </c>
      <c r="D180" s="45">
        <f t="shared" si="9"/>
        <v>1.6037507477489668</v>
      </c>
    </row>
    <row r="181" spans="1:4" x14ac:dyDescent="0.2">
      <c r="B181" s="253" t="s">
        <v>584</v>
      </c>
      <c r="C181" s="45">
        <f t="shared" si="9"/>
        <v>2.0180087701577216</v>
      </c>
      <c r="D181" s="45">
        <f t="shared" si="9"/>
        <v>1.6203703703703689</v>
      </c>
    </row>
    <row r="182" spans="1:4" x14ac:dyDescent="0.2">
      <c r="B182" s="16"/>
      <c r="C182" s="255"/>
      <c r="D182" s="255"/>
    </row>
    <row r="183" spans="1:4" x14ac:dyDescent="0.2">
      <c r="B183" s="16"/>
      <c r="C183" s="255"/>
      <c r="D183" s="255"/>
    </row>
    <row r="184" spans="1:4" x14ac:dyDescent="0.2">
      <c r="A184" s="9" t="s">
        <v>14</v>
      </c>
      <c r="B184" s="528" t="s">
        <v>3</v>
      </c>
      <c r="C184" s="529"/>
      <c r="D184" s="530"/>
    </row>
    <row r="185" spans="1:4" x14ac:dyDescent="0.2">
      <c r="B185" s="103" t="s">
        <v>810</v>
      </c>
      <c r="C185" s="221" t="s">
        <v>808</v>
      </c>
      <c r="D185" s="221" t="s">
        <v>809</v>
      </c>
    </row>
    <row r="186" spans="1:4" x14ac:dyDescent="0.2">
      <c r="B186" s="253" t="s">
        <v>333</v>
      </c>
      <c r="C186" s="45">
        <f>C154/(3^0.5)</f>
        <v>0.42095820602287898</v>
      </c>
      <c r="D186" s="45">
        <f>D154/(3^0.5)</f>
        <v>0</v>
      </c>
    </row>
    <row r="187" spans="1:4" x14ac:dyDescent="0.2">
      <c r="B187" s="253" t="s">
        <v>334</v>
      </c>
      <c r="C187" s="45">
        <f t="shared" ref="C187:D189" si="10">C155/(3^0.5)</f>
        <v>1.3227513227513246</v>
      </c>
      <c r="D187" s="45">
        <f t="shared" si="10"/>
        <v>1.3227513227513246</v>
      </c>
    </row>
    <row r="188" spans="1:4" x14ac:dyDescent="0.2">
      <c r="B188" s="253" t="s">
        <v>813</v>
      </c>
      <c r="C188" s="45">
        <f t="shared" si="10"/>
        <v>2.3130294618349208</v>
      </c>
      <c r="D188" s="45">
        <f t="shared" si="10"/>
        <v>2.5618763750148084</v>
      </c>
    </row>
    <row r="189" spans="1:4" x14ac:dyDescent="0.2">
      <c r="B189" s="253" t="s">
        <v>584</v>
      </c>
      <c r="C189" s="45">
        <f t="shared" si="10"/>
        <v>1.2028130608117196</v>
      </c>
      <c r="D189" s="45">
        <f t="shared" si="10"/>
        <v>0.69444444444444287</v>
      </c>
    </row>
    <row r="190" spans="1:4" x14ac:dyDescent="0.2">
      <c r="B190" s="16"/>
      <c r="C190" s="255"/>
      <c r="D190" s="255"/>
    </row>
    <row r="191" spans="1:4" x14ac:dyDescent="0.2">
      <c r="B191" s="16"/>
      <c r="C191" s="255"/>
      <c r="D191" s="255"/>
    </row>
    <row r="192" spans="1:4" x14ac:dyDescent="0.2">
      <c r="A192" s="9" t="s">
        <v>14</v>
      </c>
      <c r="B192" s="528" t="s">
        <v>4</v>
      </c>
      <c r="C192" s="529"/>
      <c r="D192" s="530"/>
    </row>
    <row r="193" spans="1:15" x14ac:dyDescent="0.2">
      <c r="B193" s="103" t="s">
        <v>810</v>
      </c>
      <c r="C193" s="221" t="s">
        <v>808</v>
      </c>
      <c r="D193" s="221" t="s">
        <v>809</v>
      </c>
    </row>
    <row r="194" spans="1:15" x14ac:dyDescent="0.2">
      <c r="B194" s="253" t="s">
        <v>333</v>
      </c>
      <c r="C194" s="45">
        <f t="shared" ref="C194:D197" si="11">C162/(3^0.5)</f>
        <v>1.2352013224828648</v>
      </c>
      <c r="D194" s="45">
        <f t="shared" si="11"/>
        <v>0</v>
      </c>
    </row>
    <row r="195" spans="1:15" x14ac:dyDescent="0.2">
      <c r="B195" s="253" t="s">
        <v>334</v>
      </c>
      <c r="C195" s="45">
        <f t="shared" si="11"/>
        <v>0.86983390445894204</v>
      </c>
      <c r="D195" s="45">
        <f t="shared" si="11"/>
        <v>1.940852097355686</v>
      </c>
    </row>
    <row r="196" spans="1:15" x14ac:dyDescent="0.2">
      <c r="B196" s="253" t="s">
        <v>813</v>
      </c>
      <c r="C196" s="45">
        <f t="shared" si="11"/>
        <v>0.94054967379002363</v>
      </c>
      <c r="D196" s="45">
        <f>D164/(3^0.5)</f>
        <v>0.94054967379002363</v>
      </c>
    </row>
    <row r="197" spans="1:15" x14ac:dyDescent="0.2">
      <c r="B197" s="253" t="s">
        <v>584</v>
      </c>
      <c r="C197" s="45">
        <f t="shared" si="11"/>
        <v>0.6944444444444462</v>
      </c>
      <c r="D197" s="45">
        <f t="shared" si="11"/>
        <v>0</v>
      </c>
    </row>
    <row r="200" spans="1:15" ht="18" x14ac:dyDescent="0.2">
      <c r="B200" s="19" t="s">
        <v>52</v>
      </c>
      <c r="C200" s="20"/>
      <c r="D200" s="20"/>
      <c r="E200" s="20"/>
      <c r="L200" s="452" t="s">
        <v>52</v>
      </c>
      <c r="M200" s="181"/>
      <c r="N200" s="181"/>
    </row>
    <row r="202" spans="1:15" x14ac:dyDescent="0.2">
      <c r="A202" s="264" t="s">
        <v>814</v>
      </c>
      <c r="B202" s="15" t="s">
        <v>53</v>
      </c>
      <c r="K202" s="264" t="s">
        <v>818</v>
      </c>
      <c r="L202" s="15" t="s">
        <v>53</v>
      </c>
    </row>
    <row r="203" spans="1:15" x14ac:dyDescent="0.2">
      <c r="B203" s="2" t="s">
        <v>0</v>
      </c>
      <c r="E203" s="46">
        <v>68.569999999999993</v>
      </c>
      <c r="L203" s="2" t="s">
        <v>0</v>
      </c>
      <c r="O203" s="46">
        <v>44.45</v>
      </c>
    </row>
    <row r="204" spans="1:15" x14ac:dyDescent="0.2">
      <c r="B204" s="2" t="s">
        <v>36</v>
      </c>
      <c r="E204" s="46" t="s">
        <v>176</v>
      </c>
      <c r="L204" s="2" t="s">
        <v>36</v>
      </c>
      <c r="O204" s="46" t="s">
        <v>176</v>
      </c>
    </row>
    <row r="205" spans="1:15" x14ac:dyDescent="0.2">
      <c r="B205" s="2" t="s">
        <v>37</v>
      </c>
      <c r="E205" s="46" t="s">
        <v>10</v>
      </c>
      <c r="L205" s="2" t="s">
        <v>37</v>
      </c>
      <c r="O205" s="46" t="s">
        <v>10</v>
      </c>
    </row>
    <row r="206" spans="1:15" x14ac:dyDescent="0.2">
      <c r="B206" s="2" t="s">
        <v>54</v>
      </c>
      <c r="E206" s="46" t="s">
        <v>41</v>
      </c>
      <c r="L206" s="2" t="s">
        <v>54</v>
      </c>
      <c r="O206" s="46" t="s">
        <v>41</v>
      </c>
    </row>
    <row r="207" spans="1:15" x14ac:dyDescent="0.2">
      <c r="B207" s="2" t="s">
        <v>55</v>
      </c>
      <c r="E207" s="46">
        <v>0.96260000000000001</v>
      </c>
      <c r="L207" s="2" t="s">
        <v>55</v>
      </c>
      <c r="O207" s="46">
        <v>0.94340000000000002</v>
      </c>
    </row>
    <row r="209" spans="1:17" x14ac:dyDescent="0.2">
      <c r="B209" s="3" t="s">
        <v>44</v>
      </c>
      <c r="C209" s="47"/>
      <c r="D209" s="47"/>
      <c r="E209" s="47"/>
      <c r="F209" s="47"/>
      <c r="G209" s="47"/>
      <c r="L209" s="3" t="s">
        <v>44</v>
      </c>
      <c r="M209" s="47"/>
      <c r="N209" s="47"/>
      <c r="O209" s="47"/>
      <c r="P209" s="47"/>
      <c r="Q209" s="47"/>
    </row>
    <row r="210" spans="1:17" x14ac:dyDescent="0.2">
      <c r="B210" s="47"/>
      <c r="C210" s="16" t="s">
        <v>45</v>
      </c>
      <c r="D210" s="16" t="s">
        <v>46</v>
      </c>
      <c r="E210" s="16" t="s">
        <v>47</v>
      </c>
      <c r="F210" s="16" t="s">
        <v>48</v>
      </c>
      <c r="G210" s="16" t="s">
        <v>5</v>
      </c>
      <c r="L210" s="47"/>
      <c r="M210" s="16" t="s">
        <v>45</v>
      </c>
      <c r="N210" s="16" t="s">
        <v>46</v>
      </c>
      <c r="O210" s="16" t="s">
        <v>47</v>
      </c>
      <c r="P210" s="16" t="s">
        <v>48</v>
      </c>
      <c r="Q210" s="16" t="s">
        <v>5</v>
      </c>
    </row>
    <row r="211" spans="1:17" x14ac:dyDescent="0.2">
      <c r="B211" s="2" t="s">
        <v>6</v>
      </c>
      <c r="C211" s="1">
        <v>-13.62</v>
      </c>
      <c r="D211" s="1" t="s">
        <v>823</v>
      </c>
      <c r="E211" s="1" t="s">
        <v>41</v>
      </c>
      <c r="F211" s="1" t="s">
        <v>10</v>
      </c>
      <c r="G211" s="1" t="s">
        <v>176</v>
      </c>
      <c r="L211" s="2" t="s">
        <v>6</v>
      </c>
      <c r="M211" s="1">
        <v>2.6419999999999999</v>
      </c>
      <c r="N211" s="1" t="s">
        <v>835</v>
      </c>
      <c r="O211" s="1" t="s">
        <v>41</v>
      </c>
      <c r="P211" s="1" t="s">
        <v>10</v>
      </c>
      <c r="Q211" s="1" t="s">
        <v>176</v>
      </c>
    </row>
    <row r="212" spans="1:17" x14ac:dyDescent="0.2">
      <c r="B212" s="2" t="s">
        <v>7</v>
      </c>
      <c r="C212" s="1">
        <v>-9.4309999999999992</v>
      </c>
      <c r="D212" s="1" t="s">
        <v>824</v>
      </c>
      <c r="E212" s="1" t="s">
        <v>41</v>
      </c>
      <c r="F212" s="1" t="s">
        <v>10</v>
      </c>
      <c r="G212" s="1" t="s">
        <v>176</v>
      </c>
      <c r="L212" s="2" t="s">
        <v>7</v>
      </c>
      <c r="M212" s="1">
        <v>2.6419999999999999</v>
      </c>
      <c r="N212" s="1" t="s">
        <v>835</v>
      </c>
      <c r="O212" s="1" t="s">
        <v>41</v>
      </c>
      <c r="P212" s="1" t="s">
        <v>10</v>
      </c>
      <c r="Q212" s="1" t="s">
        <v>176</v>
      </c>
    </row>
    <row r="213" spans="1:17" x14ac:dyDescent="0.2">
      <c r="B213" s="2" t="s">
        <v>8</v>
      </c>
      <c r="C213" s="1">
        <v>-13.76</v>
      </c>
      <c r="D213" s="1" t="s">
        <v>825</v>
      </c>
      <c r="E213" s="1" t="s">
        <v>41</v>
      </c>
      <c r="F213" s="1" t="s">
        <v>10</v>
      </c>
      <c r="G213" s="1" t="s">
        <v>176</v>
      </c>
      <c r="L213" s="2" t="s">
        <v>8</v>
      </c>
      <c r="M213" s="1">
        <v>2.6419999999999999</v>
      </c>
      <c r="N213" s="1" t="s">
        <v>835</v>
      </c>
      <c r="O213" s="1" t="s">
        <v>41</v>
      </c>
      <c r="P213" s="1" t="s">
        <v>10</v>
      </c>
      <c r="Q213" s="1" t="s">
        <v>176</v>
      </c>
    </row>
    <row r="216" spans="1:17" x14ac:dyDescent="0.2">
      <c r="A216" s="264" t="s">
        <v>815</v>
      </c>
      <c r="B216" s="15" t="s">
        <v>53</v>
      </c>
      <c r="K216" s="264" t="s">
        <v>819</v>
      </c>
      <c r="L216" s="15" t="s">
        <v>53</v>
      </c>
    </row>
    <row r="217" spans="1:17" x14ac:dyDescent="0.2">
      <c r="B217" s="2" t="s">
        <v>0</v>
      </c>
      <c r="E217" s="46">
        <v>41.77</v>
      </c>
      <c r="L217" s="2" t="s">
        <v>0</v>
      </c>
      <c r="O217" s="46">
        <v>11.73</v>
      </c>
    </row>
    <row r="218" spans="1:17" x14ac:dyDescent="0.2">
      <c r="B218" s="2" t="s">
        <v>36</v>
      </c>
      <c r="E218" s="46" t="s">
        <v>176</v>
      </c>
      <c r="L218" s="2" t="s">
        <v>36</v>
      </c>
      <c r="O218" s="46">
        <v>2.7000000000000001E-3</v>
      </c>
    </row>
    <row r="219" spans="1:17" x14ac:dyDescent="0.2">
      <c r="B219" s="2" t="s">
        <v>37</v>
      </c>
      <c r="E219" s="46" t="s">
        <v>10</v>
      </c>
      <c r="L219" s="2" t="s">
        <v>37</v>
      </c>
      <c r="O219" s="46" t="s">
        <v>11</v>
      </c>
    </row>
    <row r="220" spans="1:17" x14ac:dyDescent="0.2">
      <c r="B220" s="2" t="s">
        <v>54</v>
      </c>
      <c r="E220" s="46" t="s">
        <v>41</v>
      </c>
      <c r="L220" s="2" t="s">
        <v>54</v>
      </c>
      <c r="O220" s="46" t="s">
        <v>41</v>
      </c>
    </row>
    <row r="221" spans="1:17" x14ac:dyDescent="0.2">
      <c r="B221" s="2" t="s">
        <v>55</v>
      </c>
      <c r="E221" s="46">
        <v>0.94</v>
      </c>
      <c r="L221" s="2" t="s">
        <v>55</v>
      </c>
      <c r="O221" s="46">
        <v>0.81469999999999998</v>
      </c>
    </row>
    <row r="223" spans="1:17" x14ac:dyDescent="0.2">
      <c r="B223" s="3" t="s">
        <v>44</v>
      </c>
      <c r="C223" s="47"/>
      <c r="D223" s="47"/>
      <c r="E223" s="47"/>
      <c r="F223" s="47"/>
      <c r="G223" s="47"/>
      <c r="L223" s="3" t="s">
        <v>44</v>
      </c>
      <c r="M223" s="47"/>
      <c r="N223" s="47"/>
      <c r="O223" s="47"/>
      <c r="P223" s="47"/>
      <c r="Q223" s="47"/>
    </row>
    <row r="224" spans="1:17" x14ac:dyDescent="0.2">
      <c r="B224" s="47"/>
      <c r="C224" s="16" t="s">
        <v>45</v>
      </c>
      <c r="D224" s="16" t="s">
        <v>46</v>
      </c>
      <c r="E224" s="16" t="s">
        <v>47</v>
      </c>
      <c r="F224" s="16" t="s">
        <v>48</v>
      </c>
      <c r="G224" s="16" t="s">
        <v>5</v>
      </c>
      <c r="L224" s="47"/>
      <c r="M224" s="16" t="s">
        <v>45</v>
      </c>
      <c r="N224" s="16" t="s">
        <v>46</v>
      </c>
      <c r="O224" s="16" t="s">
        <v>47</v>
      </c>
      <c r="P224" s="16" t="s">
        <v>48</v>
      </c>
      <c r="Q224" s="16" t="s">
        <v>5</v>
      </c>
    </row>
    <row r="225" spans="1:17" x14ac:dyDescent="0.2">
      <c r="B225" s="2" t="s">
        <v>6</v>
      </c>
      <c r="C225" s="1">
        <v>11.22</v>
      </c>
      <c r="D225" s="1" t="s">
        <v>826</v>
      </c>
      <c r="E225" s="1" t="s">
        <v>41</v>
      </c>
      <c r="F225" s="1" t="s">
        <v>10</v>
      </c>
      <c r="G225" s="46" t="s">
        <v>176</v>
      </c>
      <c r="L225" s="2" t="s">
        <v>6</v>
      </c>
      <c r="M225" s="1">
        <v>-22.89</v>
      </c>
      <c r="N225" s="1" t="s">
        <v>836</v>
      </c>
      <c r="O225" s="1" t="s">
        <v>41</v>
      </c>
      <c r="P225" s="1" t="s">
        <v>11</v>
      </c>
      <c r="Q225" s="1">
        <v>1.1999999999999999E-3</v>
      </c>
    </row>
    <row r="226" spans="1:17" x14ac:dyDescent="0.2">
      <c r="B226" s="2" t="s">
        <v>7</v>
      </c>
      <c r="C226" s="1">
        <v>2.758</v>
      </c>
      <c r="D226" s="1" t="s">
        <v>827</v>
      </c>
      <c r="E226" s="1" t="s">
        <v>49</v>
      </c>
      <c r="F226" s="1" t="s">
        <v>9</v>
      </c>
      <c r="G226" s="1">
        <v>0.1186</v>
      </c>
      <c r="L226" s="2" t="s">
        <v>7</v>
      </c>
      <c r="M226" s="1">
        <v>-5.4080000000000004</v>
      </c>
      <c r="N226" s="1" t="s">
        <v>837</v>
      </c>
      <c r="O226" s="1" t="s">
        <v>49</v>
      </c>
      <c r="P226" s="1" t="s">
        <v>9</v>
      </c>
      <c r="Q226" s="1">
        <v>0.44309999999999999</v>
      </c>
    </row>
    <row r="227" spans="1:17" x14ac:dyDescent="0.2">
      <c r="B227" s="2" t="s">
        <v>8</v>
      </c>
      <c r="C227" s="1">
        <v>-0.7399</v>
      </c>
      <c r="D227" s="1" t="s">
        <v>828</v>
      </c>
      <c r="E227" s="1" t="s">
        <v>49</v>
      </c>
      <c r="F227" s="1" t="s">
        <v>9</v>
      </c>
      <c r="G227" s="1">
        <v>0.87050000000000005</v>
      </c>
      <c r="L227" s="2" t="s">
        <v>8</v>
      </c>
      <c r="M227" s="1">
        <v>-9.8629999999999995</v>
      </c>
      <c r="N227" s="1" t="s">
        <v>838</v>
      </c>
      <c r="O227" s="1" t="s">
        <v>49</v>
      </c>
      <c r="P227" s="1" t="s">
        <v>9</v>
      </c>
      <c r="Q227" s="1">
        <v>9.5500000000000002E-2</v>
      </c>
    </row>
    <row r="230" spans="1:17" x14ac:dyDescent="0.2">
      <c r="A230" s="264" t="s">
        <v>816</v>
      </c>
      <c r="B230" s="15" t="s">
        <v>53</v>
      </c>
      <c r="K230" s="264" t="s">
        <v>820</v>
      </c>
      <c r="L230" s="15" t="s">
        <v>53</v>
      </c>
    </row>
    <row r="231" spans="1:17" x14ac:dyDescent="0.2">
      <c r="B231" s="2" t="s">
        <v>0</v>
      </c>
      <c r="E231" s="46">
        <v>10.97</v>
      </c>
      <c r="L231" s="2" t="s">
        <v>0</v>
      </c>
      <c r="O231" s="46">
        <v>22.66</v>
      </c>
    </row>
    <row r="232" spans="1:17" x14ac:dyDescent="0.2">
      <c r="B232" s="2" t="s">
        <v>36</v>
      </c>
      <c r="E232" s="46">
        <v>3.3E-3</v>
      </c>
      <c r="L232" s="2" t="s">
        <v>36</v>
      </c>
      <c r="O232" s="46">
        <v>2.9999999999999997E-4</v>
      </c>
    </row>
    <row r="233" spans="1:17" x14ac:dyDescent="0.2">
      <c r="B233" s="2" t="s">
        <v>37</v>
      </c>
      <c r="E233" s="46" t="s">
        <v>11</v>
      </c>
      <c r="L233" s="2" t="s">
        <v>37</v>
      </c>
      <c r="O233" s="46" t="s">
        <v>10</v>
      </c>
    </row>
    <row r="234" spans="1:17" x14ac:dyDescent="0.2">
      <c r="B234" s="2" t="s">
        <v>54</v>
      </c>
      <c r="E234" s="46" t="s">
        <v>41</v>
      </c>
      <c r="L234" s="2" t="s">
        <v>54</v>
      </c>
      <c r="O234" s="46" t="s">
        <v>41</v>
      </c>
    </row>
    <row r="235" spans="1:17" x14ac:dyDescent="0.2">
      <c r="B235" s="2" t="s">
        <v>55</v>
      </c>
      <c r="E235" s="46">
        <v>0.8044</v>
      </c>
      <c r="L235" s="2" t="s">
        <v>55</v>
      </c>
      <c r="O235" s="46">
        <v>0.89470000000000005</v>
      </c>
    </row>
    <row r="237" spans="1:17" x14ac:dyDescent="0.2">
      <c r="B237" s="2" t="s">
        <v>44</v>
      </c>
      <c r="L237" s="3" t="s">
        <v>44</v>
      </c>
      <c r="M237" s="47"/>
      <c r="N237" s="47"/>
      <c r="O237" s="47"/>
      <c r="P237" s="47"/>
      <c r="Q237" s="47"/>
    </row>
    <row r="238" spans="1:17" x14ac:dyDescent="0.2">
      <c r="C238" s="1" t="s">
        <v>45</v>
      </c>
      <c r="D238" s="1" t="s">
        <v>46</v>
      </c>
      <c r="E238" s="1" t="s">
        <v>47</v>
      </c>
      <c r="F238" s="1" t="s">
        <v>48</v>
      </c>
      <c r="G238" s="1" t="s">
        <v>5</v>
      </c>
      <c r="L238" s="47"/>
      <c r="M238" s="16" t="s">
        <v>45</v>
      </c>
      <c r="N238" s="16" t="s">
        <v>46</v>
      </c>
      <c r="O238" s="16" t="s">
        <v>47</v>
      </c>
      <c r="P238" s="16" t="s">
        <v>48</v>
      </c>
      <c r="Q238" s="16" t="s">
        <v>5</v>
      </c>
    </row>
    <row r="239" spans="1:17" x14ac:dyDescent="0.2">
      <c r="B239" s="2" t="s">
        <v>6</v>
      </c>
      <c r="C239" s="1">
        <v>7.407</v>
      </c>
      <c r="D239" s="1" t="s">
        <v>829</v>
      </c>
      <c r="E239" s="1" t="s">
        <v>41</v>
      </c>
      <c r="F239" s="1" t="s">
        <v>12</v>
      </c>
      <c r="G239" s="1">
        <v>1.0999999999999999E-2</v>
      </c>
      <c r="L239" s="2" t="s">
        <v>6</v>
      </c>
      <c r="M239" s="1">
        <v>-13.89</v>
      </c>
      <c r="N239" s="1" t="s">
        <v>839</v>
      </c>
      <c r="O239" s="1" t="s">
        <v>41</v>
      </c>
      <c r="P239" s="1" t="s">
        <v>10</v>
      </c>
      <c r="Q239" s="1">
        <v>6.9999999999999999E-4</v>
      </c>
    </row>
    <row r="240" spans="1:17" x14ac:dyDescent="0.2">
      <c r="B240" s="2" t="s">
        <v>7</v>
      </c>
      <c r="C240" s="1">
        <v>10.14</v>
      </c>
      <c r="D240" s="1" t="s">
        <v>830</v>
      </c>
      <c r="E240" s="1" t="s">
        <v>41</v>
      </c>
      <c r="F240" s="1" t="s">
        <v>11</v>
      </c>
      <c r="G240" s="1">
        <v>1.6999999999999999E-3</v>
      </c>
      <c r="L240" s="2" t="s">
        <v>7</v>
      </c>
      <c r="M240" s="1">
        <v>-17.11</v>
      </c>
      <c r="N240" s="1" t="s">
        <v>840</v>
      </c>
      <c r="O240" s="1" t="s">
        <v>41</v>
      </c>
      <c r="P240" s="1" t="s">
        <v>10</v>
      </c>
      <c r="Q240" s="1">
        <v>2.0000000000000001E-4</v>
      </c>
    </row>
    <row r="241" spans="1:17" x14ac:dyDescent="0.2">
      <c r="B241" s="2" t="s">
        <v>8</v>
      </c>
      <c r="C241" s="1">
        <v>3.7570000000000001</v>
      </c>
      <c r="D241" s="1" t="s">
        <v>831</v>
      </c>
      <c r="E241" s="1" t="s">
        <v>49</v>
      </c>
      <c r="F241" s="1" t="s">
        <v>9</v>
      </c>
      <c r="G241" s="1">
        <v>0.18410000000000001</v>
      </c>
      <c r="L241" s="2" t="s">
        <v>8</v>
      </c>
      <c r="M241" s="1">
        <v>-12.91</v>
      </c>
      <c r="N241" s="1" t="s">
        <v>841</v>
      </c>
      <c r="O241" s="1" t="s">
        <v>41</v>
      </c>
      <c r="P241" s="1" t="s">
        <v>11</v>
      </c>
      <c r="Q241" s="1">
        <v>1.1000000000000001E-3</v>
      </c>
    </row>
    <row r="244" spans="1:17" x14ac:dyDescent="0.2">
      <c r="A244" s="264" t="s">
        <v>817</v>
      </c>
      <c r="B244" s="15" t="s">
        <v>53</v>
      </c>
      <c r="K244" s="264" t="s">
        <v>821</v>
      </c>
      <c r="L244" s="15" t="s">
        <v>53</v>
      </c>
    </row>
    <row r="245" spans="1:17" x14ac:dyDescent="0.2">
      <c r="B245" s="2" t="s">
        <v>0</v>
      </c>
      <c r="E245" s="46">
        <v>10.25</v>
      </c>
      <c r="L245" s="2" t="s">
        <v>0</v>
      </c>
      <c r="O245" s="46">
        <v>293.2</v>
      </c>
    </row>
    <row r="246" spans="1:17" x14ac:dyDescent="0.2">
      <c r="B246" s="2" t="s">
        <v>36</v>
      </c>
      <c r="E246" s="46">
        <v>4.1000000000000003E-3</v>
      </c>
      <c r="L246" s="2" t="s">
        <v>36</v>
      </c>
      <c r="O246" s="46" t="s">
        <v>176</v>
      </c>
    </row>
    <row r="247" spans="1:17" x14ac:dyDescent="0.2">
      <c r="B247" s="2" t="s">
        <v>37</v>
      </c>
      <c r="E247" s="46" t="s">
        <v>11</v>
      </c>
      <c r="L247" s="2" t="s">
        <v>37</v>
      </c>
      <c r="O247" s="46" t="s">
        <v>10</v>
      </c>
    </row>
    <row r="248" spans="1:17" x14ac:dyDescent="0.2">
      <c r="B248" s="2" t="s">
        <v>54</v>
      </c>
      <c r="E248" s="46" t="s">
        <v>41</v>
      </c>
      <c r="L248" s="2" t="s">
        <v>54</v>
      </c>
      <c r="O248" s="46" t="s">
        <v>41</v>
      </c>
    </row>
    <row r="249" spans="1:17" x14ac:dyDescent="0.2">
      <c r="B249" s="2" t="s">
        <v>55</v>
      </c>
      <c r="E249" s="46">
        <v>0.79349999999999998</v>
      </c>
      <c r="L249" s="2" t="s">
        <v>55</v>
      </c>
      <c r="O249" s="46">
        <v>0.99099999999999999</v>
      </c>
    </row>
    <row r="250" spans="1:17" x14ac:dyDescent="0.2">
      <c r="O250" s="95"/>
    </row>
    <row r="251" spans="1:17" x14ac:dyDescent="0.2">
      <c r="B251" s="3" t="s">
        <v>44</v>
      </c>
      <c r="C251" s="47"/>
      <c r="D251" s="47"/>
      <c r="E251" s="47"/>
      <c r="F251" s="47"/>
      <c r="G251" s="47"/>
      <c r="L251" s="3" t="s">
        <v>44</v>
      </c>
      <c r="M251" s="47"/>
      <c r="N251" s="47"/>
      <c r="O251" s="47"/>
      <c r="P251" s="47"/>
      <c r="Q251" s="47"/>
    </row>
    <row r="252" spans="1:17" x14ac:dyDescent="0.2">
      <c r="B252" s="47"/>
      <c r="C252" s="16" t="s">
        <v>45</v>
      </c>
      <c r="D252" s="16" t="s">
        <v>46</v>
      </c>
      <c r="E252" s="16" t="s">
        <v>47</v>
      </c>
      <c r="F252" s="16" t="s">
        <v>48</v>
      </c>
      <c r="G252" s="16" t="s">
        <v>5</v>
      </c>
      <c r="L252" s="47"/>
      <c r="M252" s="16" t="s">
        <v>45</v>
      </c>
      <c r="N252" s="16" t="s">
        <v>46</v>
      </c>
      <c r="O252" s="16" t="s">
        <v>47</v>
      </c>
      <c r="P252" s="16" t="s">
        <v>48</v>
      </c>
      <c r="Q252" s="16" t="s">
        <v>5</v>
      </c>
    </row>
    <row r="253" spans="1:17" x14ac:dyDescent="0.2">
      <c r="B253" s="2" t="s">
        <v>6</v>
      </c>
      <c r="C253" s="1">
        <v>-8.7959999999999994</v>
      </c>
      <c r="D253" s="1" t="s">
        <v>832</v>
      </c>
      <c r="E253" s="1" t="s">
        <v>41</v>
      </c>
      <c r="F253" s="1" t="s">
        <v>11</v>
      </c>
      <c r="G253" s="1">
        <v>2.5000000000000001E-3</v>
      </c>
      <c r="L253" s="2" t="s">
        <v>6</v>
      </c>
      <c r="M253" s="1">
        <v>-30.79</v>
      </c>
      <c r="N253" s="1" t="s">
        <v>842</v>
      </c>
      <c r="O253" s="1" t="s">
        <v>41</v>
      </c>
      <c r="P253" s="1" t="s">
        <v>10</v>
      </c>
      <c r="Q253" s="1" t="s">
        <v>176</v>
      </c>
    </row>
    <row r="254" spans="1:17" x14ac:dyDescent="0.2">
      <c r="B254" s="2" t="s">
        <v>7</v>
      </c>
      <c r="C254" s="1">
        <v>-6.25</v>
      </c>
      <c r="D254" s="1" t="s">
        <v>833</v>
      </c>
      <c r="E254" s="1" t="s">
        <v>41</v>
      </c>
      <c r="F254" s="1" t="s">
        <v>12</v>
      </c>
      <c r="G254" s="1">
        <v>1.7299999999999999E-2</v>
      </c>
      <c r="L254" s="2" t="s">
        <v>7</v>
      </c>
      <c r="M254" s="1">
        <v>-32.64</v>
      </c>
      <c r="N254" s="1" t="s">
        <v>843</v>
      </c>
      <c r="O254" s="1" t="s">
        <v>41</v>
      </c>
      <c r="P254" s="1" t="s">
        <v>10</v>
      </c>
      <c r="Q254" s="1" t="s">
        <v>176</v>
      </c>
    </row>
    <row r="255" spans="1:17" x14ac:dyDescent="0.2">
      <c r="B255" s="2" t="s">
        <v>8</v>
      </c>
      <c r="C255" s="1">
        <v>-7.6390000000000002</v>
      </c>
      <c r="D255" s="1" t="s">
        <v>834</v>
      </c>
      <c r="E255" s="1" t="s">
        <v>41</v>
      </c>
      <c r="F255" s="1" t="s">
        <v>11</v>
      </c>
      <c r="G255" s="1">
        <v>5.7999999999999996E-3</v>
      </c>
      <c r="L255" s="2" t="s">
        <v>8</v>
      </c>
      <c r="M255" s="1">
        <v>-25</v>
      </c>
      <c r="N255" s="1" t="s">
        <v>844</v>
      </c>
      <c r="O255" s="1" t="s">
        <v>41</v>
      </c>
      <c r="P255" s="1" t="s">
        <v>10</v>
      </c>
      <c r="Q255" s="1" t="s">
        <v>176</v>
      </c>
    </row>
  </sheetData>
  <mergeCells count="34">
    <mergeCell ref="B192:D192"/>
    <mergeCell ref="B105:D105"/>
    <mergeCell ref="B113:D113"/>
    <mergeCell ref="B121:D121"/>
    <mergeCell ref="B129:D129"/>
    <mergeCell ref="B137:D137"/>
    <mergeCell ref="B144:D144"/>
    <mergeCell ref="B152:D152"/>
    <mergeCell ref="B160:D160"/>
    <mergeCell ref="B168:D168"/>
    <mergeCell ref="B176:D176"/>
    <mergeCell ref="B184:D184"/>
    <mergeCell ref="B98:D98"/>
    <mergeCell ref="I98:M98"/>
    <mergeCell ref="B34:D34"/>
    <mergeCell ref="B42:D42"/>
    <mergeCell ref="B50:D50"/>
    <mergeCell ref="B58:D58"/>
    <mergeCell ref="I34:M34"/>
    <mergeCell ref="I42:M42"/>
    <mergeCell ref="I50:M50"/>
    <mergeCell ref="I58:M58"/>
    <mergeCell ref="B74:D74"/>
    <mergeCell ref="I74:M74"/>
    <mergeCell ref="B82:D82"/>
    <mergeCell ref="I82:M82"/>
    <mergeCell ref="B90:D90"/>
    <mergeCell ref="I90:M90"/>
    <mergeCell ref="B10:D10"/>
    <mergeCell ref="I10:M10"/>
    <mergeCell ref="B18:D18"/>
    <mergeCell ref="I18:M18"/>
    <mergeCell ref="B26:D26"/>
    <mergeCell ref="I26:M26"/>
  </mergeCells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2:R289"/>
  <sheetViews>
    <sheetView topLeftCell="C1" zoomScale="82" zoomScaleNormal="82" zoomScalePageLayoutView="82" workbookViewId="0">
      <selection activeCell="J286" sqref="J286"/>
    </sheetView>
  </sheetViews>
  <sheetFormatPr baseColWidth="10" defaultRowHeight="16" x14ac:dyDescent="0.2"/>
  <cols>
    <col min="1" max="1" width="20.1640625" customWidth="1"/>
    <col min="2" max="2" width="15.33203125" customWidth="1"/>
    <col min="3" max="3" width="15.6640625" customWidth="1"/>
    <col min="4" max="4" width="16.1640625" customWidth="1"/>
    <col min="9" max="9" width="16.5" bestFit="1" customWidth="1"/>
    <col min="10" max="10" width="20" customWidth="1"/>
    <col min="11" max="11" width="15.5" customWidth="1"/>
    <col min="12" max="12" width="16.83203125" customWidth="1"/>
    <col min="13" max="13" width="14.6640625" customWidth="1"/>
    <col min="14" max="14" width="16.1640625" customWidth="1"/>
    <col min="15" max="15" width="11.6640625" customWidth="1"/>
    <col min="16" max="16" width="12.1640625" customWidth="1"/>
    <col min="19" max="19" width="16.5" bestFit="1" customWidth="1"/>
    <col min="20" max="20" width="9.5" customWidth="1"/>
  </cols>
  <sheetData>
    <row r="2" spans="1:18" ht="18" x14ac:dyDescent="0.2">
      <c r="A2" s="53" t="s">
        <v>853</v>
      </c>
      <c r="B2" s="14"/>
    </row>
    <row r="4" spans="1:18" ht="18" x14ac:dyDescent="0.2">
      <c r="A4" s="14" t="s">
        <v>845</v>
      </c>
      <c r="B4" s="14"/>
      <c r="C4" s="14"/>
      <c r="D4" s="14"/>
      <c r="E4" s="14"/>
      <c r="F4" s="181"/>
      <c r="G4" s="181"/>
      <c r="H4" s="181"/>
      <c r="I4" s="181"/>
      <c r="J4" s="66"/>
    </row>
    <row r="5" spans="1:18" ht="19" x14ac:dyDescent="0.25">
      <c r="A5" s="219"/>
      <c r="B5" s="9"/>
      <c r="C5" s="9"/>
      <c r="D5" s="9"/>
      <c r="E5" s="9"/>
    </row>
    <row r="6" spans="1:18" ht="19" x14ac:dyDescent="0.25">
      <c r="A6" s="219"/>
      <c r="B6" s="52"/>
      <c r="C6" s="9"/>
      <c r="D6" s="9"/>
      <c r="E6" s="9"/>
    </row>
    <row r="7" spans="1:18" x14ac:dyDescent="0.2">
      <c r="A7" s="9"/>
      <c r="B7" s="9"/>
      <c r="C7" s="9"/>
      <c r="D7" s="9"/>
      <c r="E7" s="9"/>
    </row>
    <row r="8" spans="1:18" x14ac:dyDescent="0.2">
      <c r="A8" s="9"/>
      <c r="B8" s="9" t="s">
        <v>179</v>
      </c>
      <c r="C8" s="9"/>
      <c r="D8" s="9"/>
      <c r="E8" s="9"/>
      <c r="I8" s="9" t="s">
        <v>180</v>
      </c>
    </row>
    <row r="9" spans="1:18" x14ac:dyDescent="0.2">
      <c r="A9" s="9"/>
      <c r="B9" s="9"/>
      <c r="C9" s="9"/>
      <c r="D9" s="9"/>
      <c r="E9" s="9"/>
    </row>
    <row r="10" spans="1:18" ht="14.5" customHeight="1" x14ac:dyDescent="0.2">
      <c r="A10" s="9"/>
      <c r="B10" s="517" t="s">
        <v>598</v>
      </c>
      <c r="C10" s="518"/>
      <c r="D10" s="519"/>
      <c r="I10" s="517" t="s">
        <v>598</v>
      </c>
      <c r="J10" s="518"/>
      <c r="K10" s="518"/>
      <c r="L10" s="518"/>
      <c r="M10" s="519"/>
    </row>
    <row r="11" spans="1:18" x14ac:dyDescent="0.2">
      <c r="B11" s="59" t="s">
        <v>810</v>
      </c>
      <c r="C11" s="60" t="s">
        <v>846</v>
      </c>
      <c r="D11" s="60" t="s">
        <v>847</v>
      </c>
      <c r="E11" s="110"/>
      <c r="F11" s="110"/>
      <c r="I11" s="59" t="s">
        <v>810</v>
      </c>
      <c r="J11" s="60" t="s">
        <v>846</v>
      </c>
      <c r="K11" s="60" t="s">
        <v>847</v>
      </c>
      <c r="L11" s="60" t="s">
        <v>811</v>
      </c>
      <c r="M11" s="60" t="s">
        <v>812</v>
      </c>
      <c r="O11" s="64"/>
      <c r="P11" s="64"/>
      <c r="Q11" s="64"/>
      <c r="R11" s="110"/>
    </row>
    <row r="12" spans="1:18" x14ac:dyDescent="0.2">
      <c r="B12" s="61" t="s">
        <v>333</v>
      </c>
      <c r="C12" s="55">
        <f>J12/L12*100</f>
        <v>2.6315789473684208</v>
      </c>
      <c r="D12" s="55">
        <f>K12/L12*100</f>
        <v>2.6315789473684208</v>
      </c>
      <c r="E12" s="64"/>
      <c r="I12" s="61" t="s">
        <v>333</v>
      </c>
      <c r="J12" s="223">
        <v>1</v>
      </c>
      <c r="K12" s="223">
        <v>1</v>
      </c>
      <c r="L12" s="17">
        <v>38</v>
      </c>
      <c r="M12" s="223">
        <f>L12/1</f>
        <v>38</v>
      </c>
      <c r="O12" s="64"/>
      <c r="P12" s="64"/>
      <c r="Q12" s="64"/>
      <c r="R12" s="64"/>
    </row>
    <row r="13" spans="1:18" x14ac:dyDescent="0.2">
      <c r="B13" s="61" t="s">
        <v>334</v>
      </c>
      <c r="C13" s="55">
        <f>J13/L13*100</f>
        <v>7.1428571428571423</v>
      </c>
      <c r="D13" s="55">
        <f>K13/L13*100</f>
        <v>0</v>
      </c>
      <c r="E13" s="64"/>
      <c r="I13" s="61" t="s">
        <v>334</v>
      </c>
      <c r="J13" s="223">
        <v>2</v>
      </c>
      <c r="K13" s="223">
        <v>0</v>
      </c>
      <c r="L13" s="17">
        <v>28</v>
      </c>
      <c r="M13" s="223">
        <f>L13/2</f>
        <v>14</v>
      </c>
      <c r="O13" s="78"/>
      <c r="P13" s="78"/>
      <c r="Q13" s="78"/>
      <c r="R13" s="64"/>
    </row>
    <row r="14" spans="1:18" x14ac:dyDescent="0.2">
      <c r="B14" s="61" t="s">
        <v>813</v>
      </c>
      <c r="C14" s="55">
        <f>J14/L14*100</f>
        <v>100</v>
      </c>
      <c r="D14" s="55">
        <f>K14/L14*100</f>
        <v>0</v>
      </c>
      <c r="E14" s="78"/>
      <c r="I14" s="61" t="s">
        <v>813</v>
      </c>
      <c r="J14" s="17">
        <v>9</v>
      </c>
      <c r="K14" s="17">
        <v>0</v>
      </c>
      <c r="L14" s="17">
        <v>9</v>
      </c>
      <c r="M14" s="223">
        <f>L14/3</f>
        <v>3</v>
      </c>
      <c r="O14" s="78"/>
    </row>
    <row r="15" spans="1:18" x14ac:dyDescent="0.2">
      <c r="B15" s="61" t="s">
        <v>584</v>
      </c>
      <c r="C15" s="55">
        <v>0</v>
      </c>
      <c r="D15" s="55">
        <v>0</v>
      </c>
      <c r="E15" s="78"/>
      <c r="I15" s="61" t="s">
        <v>584</v>
      </c>
      <c r="J15" s="17">
        <v>0</v>
      </c>
      <c r="K15" s="17">
        <v>0</v>
      </c>
      <c r="L15" s="17">
        <v>0</v>
      </c>
      <c r="M15" s="223">
        <f>L15/4</f>
        <v>0</v>
      </c>
    </row>
    <row r="16" spans="1:18" x14ac:dyDescent="0.2">
      <c r="O16" s="78"/>
    </row>
    <row r="17" spans="2:18" x14ac:dyDescent="0.2">
      <c r="O17" s="9"/>
    </row>
    <row r="18" spans="2:18" x14ac:dyDescent="0.2">
      <c r="B18" s="517" t="s">
        <v>599</v>
      </c>
      <c r="C18" s="518"/>
      <c r="D18" s="519"/>
      <c r="I18" s="517" t="s">
        <v>599</v>
      </c>
      <c r="J18" s="518"/>
      <c r="K18" s="518"/>
      <c r="L18" s="518"/>
      <c r="M18" s="519"/>
    </row>
    <row r="19" spans="2:18" x14ac:dyDescent="0.2">
      <c r="B19" s="59" t="s">
        <v>810</v>
      </c>
      <c r="C19" s="60" t="s">
        <v>846</v>
      </c>
      <c r="D19" s="60" t="s">
        <v>847</v>
      </c>
      <c r="E19" s="110"/>
      <c r="I19" s="59" t="s">
        <v>810</v>
      </c>
      <c r="J19" s="60" t="s">
        <v>846</v>
      </c>
      <c r="K19" s="60" t="s">
        <v>847</v>
      </c>
      <c r="L19" s="60" t="s">
        <v>811</v>
      </c>
      <c r="M19" s="60" t="s">
        <v>812</v>
      </c>
    </row>
    <row r="20" spans="2:18" x14ac:dyDescent="0.2">
      <c r="B20" s="61" t="s">
        <v>333</v>
      </c>
      <c r="C20" s="55">
        <f>J20/L20*100</f>
        <v>2.4390243902439024</v>
      </c>
      <c r="D20" s="55">
        <f>K20/L20*100</f>
        <v>2.4390243902439024</v>
      </c>
      <c r="E20" s="64"/>
      <c r="I20" s="61" t="s">
        <v>333</v>
      </c>
      <c r="J20" s="223">
        <v>1</v>
      </c>
      <c r="K20" s="223">
        <v>1</v>
      </c>
      <c r="L20" s="17">
        <v>41</v>
      </c>
      <c r="M20" s="223">
        <f>L20/1</f>
        <v>41</v>
      </c>
    </row>
    <row r="21" spans="2:18" x14ac:dyDescent="0.2">
      <c r="B21" s="61" t="s">
        <v>334</v>
      </c>
      <c r="C21" s="55">
        <f>J21/L21*100</f>
        <v>8.3333333333333321</v>
      </c>
      <c r="D21" s="55">
        <f>K21/L21*100</f>
        <v>0</v>
      </c>
      <c r="E21" s="64"/>
      <c r="F21" s="64"/>
      <c r="I21" s="61" t="s">
        <v>334</v>
      </c>
      <c r="J21" s="223">
        <v>2</v>
      </c>
      <c r="K21" s="223">
        <v>0</v>
      </c>
      <c r="L21" s="17">
        <v>24</v>
      </c>
      <c r="M21" s="223">
        <f>L21/2</f>
        <v>12</v>
      </c>
    </row>
    <row r="22" spans="2:18" x14ac:dyDescent="0.2">
      <c r="B22" s="61" t="s">
        <v>813</v>
      </c>
      <c r="C22" s="55">
        <f>J22/L22*100</f>
        <v>91.666666666666657</v>
      </c>
      <c r="D22" s="55">
        <f>K22/L22*100</f>
        <v>8.3333333333333321</v>
      </c>
      <c r="E22" s="78"/>
      <c r="F22" s="78"/>
      <c r="I22" s="61" t="s">
        <v>813</v>
      </c>
      <c r="J22" s="17">
        <v>11</v>
      </c>
      <c r="K22" s="17">
        <v>1</v>
      </c>
      <c r="L22" s="17">
        <v>12</v>
      </c>
      <c r="M22" s="223">
        <f>L22/3</f>
        <v>4</v>
      </c>
    </row>
    <row r="23" spans="2:18" x14ac:dyDescent="0.2">
      <c r="B23" s="61" t="s">
        <v>584</v>
      </c>
      <c r="C23" s="55">
        <v>0</v>
      </c>
      <c r="D23" s="55">
        <v>0</v>
      </c>
      <c r="E23" s="78"/>
      <c r="I23" s="61" t="s">
        <v>584</v>
      </c>
      <c r="J23" s="17">
        <v>0</v>
      </c>
      <c r="K23" s="17">
        <v>0</v>
      </c>
      <c r="L23" s="17">
        <v>0</v>
      </c>
      <c r="M23" s="223">
        <f>L23/4</f>
        <v>0</v>
      </c>
      <c r="Q23" s="78"/>
    </row>
    <row r="24" spans="2:18" x14ac:dyDescent="0.2">
      <c r="B24" s="138"/>
      <c r="C24" s="9"/>
      <c r="D24" s="140"/>
      <c r="E24" s="9"/>
      <c r="G24" s="9"/>
      <c r="H24" s="140"/>
      <c r="I24" s="140"/>
      <c r="R24" s="78"/>
    </row>
    <row r="25" spans="2:18" x14ac:dyDescent="0.2">
      <c r="B25" s="138"/>
      <c r="C25" s="9"/>
      <c r="D25" s="140"/>
      <c r="E25" s="9"/>
      <c r="F25" s="9"/>
      <c r="G25" s="9"/>
      <c r="H25" s="140"/>
      <c r="I25" s="140"/>
    </row>
    <row r="26" spans="2:18" x14ac:dyDescent="0.2">
      <c r="B26" s="517" t="s">
        <v>600</v>
      </c>
      <c r="C26" s="518"/>
      <c r="D26" s="519"/>
      <c r="I26" s="517" t="s">
        <v>600</v>
      </c>
      <c r="J26" s="518"/>
      <c r="K26" s="518"/>
      <c r="L26" s="518"/>
      <c r="M26" s="519"/>
    </row>
    <row r="27" spans="2:18" x14ac:dyDescent="0.2">
      <c r="B27" s="59" t="s">
        <v>810</v>
      </c>
      <c r="C27" s="60" t="s">
        <v>846</v>
      </c>
      <c r="D27" s="60" t="s">
        <v>847</v>
      </c>
      <c r="E27" s="110"/>
      <c r="F27" s="110"/>
      <c r="I27" s="59" t="s">
        <v>810</v>
      </c>
      <c r="J27" s="60" t="s">
        <v>846</v>
      </c>
      <c r="K27" s="60" t="s">
        <v>847</v>
      </c>
      <c r="L27" s="60" t="s">
        <v>811</v>
      </c>
      <c r="M27" s="60" t="s">
        <v>812</v>
      </c>
      <c r="O27" s="65"/>
    </row>
    <row r="28" spans="2:18" x14ac:dyDescent="0.2">
      <c r="B28" s="61" t="s">
        <v>333</v>
      </c>
      <c r="C28" s="55">
        <f>J28/L28*100</f>
        <v>0</v>
      </c>
      <c r="D28" s="55">
        <f>K28/L28*100</f>
        <v>2.9411764705882351</v>
      </c>
      <c r="E28" s="64"/>
      <c r="F28" s="64"/>
      <c r="I28" s="61" t="s">
        <v>333</v>
      </c>
      <c r="J28" s="223">
        <v>0</v>
      </c>
      <c r="K28" s="223">
        <v>1</v>
      </c>
      <c r="L28" s="17">
        <v>34</v>
      </c>
      <c r="M28" s="223">
        <f>L28/1</f>
        <v>34</v>
      </c>
      <c r="O28" s="64"/>
    </row>
    <row r="29" spans="2:18" x14ac:dyDescent="0.2">
      <c r="B29" s="61" t="s">
        <v>334</v>
      </c>
      <c r="C29" s="55">
        <f>J29/L29*100</f>
        <v>6.25</v>
      </c>
      <c r="D29" s="55">
        <f>K29/L29*100</f>
        <v>3.125</v>
      </c>
      <c r="E29" s="64"/>
      <c r="F29" s="64"/>
      <c r="I29" s="61" t="s">
        <v>334</v>
      </c>
      <c r="J29" s="223">
        <v>2</v>
      </c>
      <c r="K29" s="223">
        <v>1</v>
      </c>
      <c r="L29" s="17">
        <v>32</v>
      </c>
      <c r="M29" s="223">
        <f>L29/2</f>
        <v>16</v>
      </c>
    </row>
    <row r="30" spans="2:18" x14ac:dyDescent="0.2">
      <c r="B30" s="61" t="s">
        <v>813</v>
      </c>
      <c r="C30" s="55">
        <f>J30/L30*100</f>
        <v>100</v>
      </c>
      <c r="D30" s="55">
        <f>K30/L30*100</f>
        <v>0</v>
      </c>
      <c r="E30" s="78"/>
      <c r="F30" s="78"/>
      <c r="I30" s="61" t="s">
        <v>813</v>
      </c>
      <c r="J30" s="17">
        <v>3</v>
      </c>
      <c r="K30" s="17">
        <v>0</v>
      </c>
      <c r="L30" s="17">
        <v>3</v>
      </c>
      <c r="M30" s="223">
        <f>L30/3</f>
        <v>1</v>
      </c>
    </row>
    <row r="31" spans="2:18" x14ac:dyDescent="0.2">
      <c r="B31" s="61" t="s">
        <v>584</v>
      </c>
      <c r="C31" s="55">
        <v>0</v>
      </c>
      <c r="D31" s="55">
        <v>0</v>
      </c>
      <c r="E31" s="78"/>
      <c r="F31" s="78"/>
      <c r="I31" s="61" t="s">
        <v>584</v>
      </c>
      <c r="J31" s="17">
        <v>0</v>
      </c>
      <c r="K31" s="17">
        <v>0</v>
      </c>
      <c r="L31" s="17">
        <v>0</v>
      </c>
      <c r="M31" s="223">
        <f>L31/4</f>
        <v>0</v>
      </c>
    </row>
    <row r="34" spans="2:13" x14ac:dyDescent="0.2">
      <c r="B34" s="517" t="s">
        <v>601</v>
      </c>
      <c r="C34" s="518"/>
      <c r="D34" s="519"/>
      <c r="I34" s="517" t="s">
        <v>601</v>
      </c>
      <c r="J34" s="518"/>
      <c r="K34" s="518"/>
      <c r="L34" s="518"/>
      <c r="M34" s="519"/>
    </row>
    <row r="35" spans="2:13" x14ac:dyDescent="0.2">
      <c r="B35" s="59" t="s">
        <v>810</v>
      </c>
      <c r="C35" s="60" t="s">
        <v>846</v>
      </c>
      <c r="D35" s="60" t="s">
        <v>847</v>
      </c>
      <c r="E35" s="110"/>
      <c r="F35" s="110"/>
      <c r="I35" s="59" t="s">
        <v>810</v>
      </c>
      <c r="J35" s="60" t="s">
        <v>846</v>
      </c>
      <c r="K35" s="60" t="s">
        <v>847</v>
      </c>
      <c r="L35" s="60" t="s">
        <v>811</v>
      </c>
      <c r="M35" s="60" t="s">
        <v>812</v>
      </c>
    </row>
    <row r="36" spans="2:13" x14ac:dyDescent="0.2">
      <c r="B36" s="61" t="s">
        <v>333</v>
      </c>
      <c r="C36" s="55">
        <f>J36/L36*100</f>
        <v>0</v>
      </c>
      <c r="D36" s="55">
        <f>K36/L36*100</f>
        <v>2.3255813953488373</v>
      </c>
      <c r="E36" s="64"/>
      <c r="F36" s="64"/>
      <c r="I36" s="61" t="s">
        <v>333</v>
      </c>
      <c r="J36" s="223">
        <v>0</v>
      </c>
      <c r="K36" s="223">
        <v>1</v>
      </c>
      <c r="L36" s="17">
        <v>43</v>
      </c>
      <c r="M36" s="223">
        <f>L36/1</f>
        <v>43</v>
      </c>
    </row>
    <row r="37" spans="2:13" x14ac:dyDescent="0.2">
      <c r="B37" s="61" t="s">
        <v>334</v>
      </c>
      <c r="C37" s="55">
        <f>J37/L37*100</f>
        <v>6.666666666666667</v>
      </c>
      <c r="D37" s="55">
        <f>K37/L37*100</f>
        <v>0</v>
      </c>
      <c r="E37" s="64"/>
      <c r="F37" s="64"/>
      <c r="I37" s="61" t="s">
        <v>334</v>
      </c>
      <c r="J37" s="223">
        <v>2</v>
      </c>
      <c r="K37" s="223">
        <v>0</v>
      </c>
      <c r="L37" s="17">
        <v>30</v>
      </c>
      <c r="M37" s="223">
        <f>L37/2</f>
        <v>15</v>
      </c>
    </row>
    <row r="38" spans="2:13" x14ac:dyDescent="0.2">
      <c r="B38" s="61" t="s">
        <v>813</v>
      </c>
      <c r="C38" s="55">
        <f>J38/L38*100</f>
        <v>50</v>
      </c>
      <c r="D38" s="55">
        <f>K38/L38*100</f>
        <v>0</v>
      </c>
      <c r="E38" s="78"/>
      <c r="F38" s="78"/>
      <c r="I38" s="61" t="s">
        <v>813</v>
      </c>
      <c r="J38" s="17">
        <v>3</v>
      </c>
      <c r="K38" s="17">
        <v>0</v>
      </c>
      <c r="L38" s="17">
        <v>6</v>
      </c>
      <c r="M38" s="223">
        <f>L38/3</f>
        <v>2</v>
      </c>
    </row>
    <row r="39" spans="2:13" x14ac:dyDescent="0.2">
      <c r="B39" s="61" t="s">
        <v>584</v>
      </c>
      <c r="C39" s="55">
        <v>0</v>
      </c>
      <c r="D39" s="55">
        <v>0</v>
      </c>
      <c r="E39" s="78"/>
      <c r="F39" s="78"/>
      <c r="I39" s="61" t="s">
        <v>584</v>
      </c>
      <c r="J39" s="17">
        <v>0</v>
      </c>
      <c r="K39" s="17">
        <v>0</v>
      </c>
      <c r="L39" s="17">
        <v>0</v>
      </c>
      <c r="M39" s="223">
        <f>L39/4</f>
        <v>0</v>
      </c>
    </row>
    <row r="42" spans="2:13" x14ac:dyDescent="0.2">
      <c r="B42" s="517" t="s">
        <v>602</v>
      </c>
      <c r="C42" s="518"/>
      <c r="D42" s="519"/>
      <c r="I42" s="517" t="s">
        <v>602</v>
      </c>
      <c r="J42" s="518"/>
      <c r="K42" s="518"/>
      <c r="L42" s="518"/>
      <c r="M42" s="519"/>
    </row>
    <row r="43" spans="2:13" x14ac:dyDescent="0.2">
      <c r="B43" s="59" t="s">
        <v>810</v>
      </c>
      <c r="C43" s="60" t="s">
        <v>846</v>
      </c>
      <c r="D43" s="60" t="s">
        <v>847</v>
      </c>
      <c r="E43" s="110"/>
      <c r="F43" s="110"/>
      <c r="I43" s="59" t="s">
        <v>810</v>
      </c>
      <c r="J43" s="60" t="s">
        <v>846</v>
      </c>
      <c r="K43" s="60" t="s">
        <v>847</v>
      </c>
      <c r="L43" s="60" t="s">
        <v>811</v>
      </c>
      <c r="M43" s="60" t="s">
        <v>812</v>
      </c>
    </row>
    <row r="44" spans="2:13" x14ac:dyDescent="0.2">
      <c r="B44" s="61" t="s">
        <v>333</v>
      </c>
      <c r="C44" s="55">
        <f>J44/L44*100</f>
        <v>0</v>
      </c>
      <c r="D44" s="55">
        <f>K44/L44*100</f>
        <v>1.9230769230769231</v>
      </c>
      <c r="E44" s="64"/>
      <c r="F44" s="64"/>
      <c r="I44" s="61" t="s">
        <v>333</v>
      </c>
      <c r="J44" s="223">
        <v>0</v>
      </c>
      <c r="K44" s="223">
        <v>1</v>
      </c>
      <c r="L44" s="17">
        <v>52</v>
      </c>
      <c r="M44" s="223">
        <f>L44/1</f>
        <v>52</v>
      </c>
    </row>
    <row r="45" spans="2:13" x14ac:dyDescent="0.2">
      <c r="B45" s="61" t="s">
        <v>334</v>
      </c>
      <c r="C45" s="55">
        <f>J45/L45*100</f>
        <v>5.8823529411764701</v>
      </c>
      <c r="D45" s="55">
        <f>K45/L45*100</f>
        <v>8.8235294117647065</v>
      </c>
      <c r="E45" s="64"/>
      <c r="F45" s="64"/>
      <c r="I45" s="61" t="s">
        <v>334</v>
      </c>
      <c r="J45" s="223">
        <v>2</v>
      </c>
      <c r="K45" s="223">
        <v>3</v>
      </c>
      <c r="L45" s="17">
        <v>34</v>
      </c>
      <c r="M45" s="223">
        <f>L45/2</f>
        <v>17</v>
      </c>
    </row>
    <row r="46" spans="2:13" x14ac:dyDescent="0.2">
      <c r="B46" s="61" t="s">
        <v>813</v>
      </c>
      <c r="C46" s="55">
        <f>J46/L46*100</f>
        <v>100</v>
      </c>
      <c r="D46" s="55">
        <f>K46/L46*100</f>
        <v>0</v>
      </c>
      <c r="E46" s="78"/>
      <c r="F46" s="78"/>
      <c r="I46" s="61" t="s">
        <v>813</v>
      </c>
      <c r="J46" s="17">
        <v>6</v>
      </c>
      <c r="K46" s="17">
        <v>0</v>
      </c>
      <c r="L46" s="17">
        <v>6</v>
      </c>
      <c r="M46" s="223">
        <f>L46/3</f>
        <v>2</v>
      </c>
    </row>
    <row r="47" spans="2:13" x14ac:dyDescent="0.2">
      <c r="B47" s="61" t="s">
        <v>584</v>
      </c>
      <c r="C47" s="55">
        <v>0</v>
      </c>
      <c r="D47" s="55">
        <v>0</v>
      </c>
      <c r="E47" s="78"/>
      <c r="F47" s="78"/>
      <c r="I47" s="61" t="s">
        <v>584</v>
      </c>
      <c r="J47" s="17">
        <v>0</v>
      </c>
      <c r="K47" s="17">
        <v>0</v>
      </c>
      <c r="L47" s="17">
        <v>0</v>
      </c>
      <c r="M47" s="223">
        <f>L47/4</f>
        <v>0</v>
      </c>
    </row>
    <row r="50" spans="2:13" x14ac:dyDescent="0.2">
      <c r="B50" s="517" t="s">
        <v>603</v>
      </c>
      <c r="C50" s="518"/>
      <c r="D50" s="519"/>
      <c r="I50" s="517" t="s">
        <v>603</v>
      </c>
      <c r="J50" s="518"/>
      <c r="K50" s="518"/>
      <c r="L50" s="518"/>
      <c r="M50" s="519"/>
    </row>
    <row r="51" spans="2:13" x14ac:dyDescent="0.2">
      <c r="B51" s="59" t="s">
        <v>810</v>
      </c>
      <c r="C51" s="60" t="s">
        <v>846</v>
      </c>
      <c r="D51" s="60" t="s">
        <v>847</v>
      </c>
      <c r="E51" s="110"/>
      <c r="F51" s="110"/>
      <c r="I51" s="59" t="s">
        <v>810</v>
      </c>
      <c r="J51" s="60" t="s">
        <v>846</v>
      </c>
      <c r="K51" s="60" t="s">
        <v>847</v>
      </c>
      <c r="L51" s="60" t="s">
        <v>811</v>
      </c>
      <c r="M51" s="60" t="s">
        <v>812</v>
      </c>
    </row>
    <row r="52" spans="2:13" x14ac:dyDescent="0.2">
      <c r="B52" s="61" t="s">
        <v>333</v>
      </c>
      <c r="C52" s="55">
        <f>J52/L52*100</f>
        <v>2.9411764705882351</v>
      </c>
      <c r="D52" s="55">
        <f>K52/L52*100</f>
        <v>2.9411764705882351</v>
      </c>
      <c r="E52" s="64"/>
      <c r="F52" s="64"/>
      <c r="I52" s="61" t="s">
        <v>333</v>
      </c>
      <c r="J52" s="223">
        <v>1</v>
      </c>
      <c r="K52" s="223">
        <v>1</v>
      </c>
      <c r="L52" s="17">
        <v>34</v>
      </c>
      <c r="M52" s="223">
        <f>L52/1</f>
        <v>34</v>
      </c>
    </row>
    <row r="53" spans="2:13" x14ac:dyDescent="0.2">
      <c r="B53" s="61" t="s">
        <v>334</v>
      </c>
      <c r="C53" s="55">
        <f>J53/L53*100</f>
        <v>7.1428571428571423</v>
      </c>
      <c r="D53" s="55">
        <f>K53/L53*100</f>
        <v>0</v>
      </c>
      <c r="E53" s="64"/>
      <c r="F53" s="64"/>
      <c r="I53" s="61" t="s">
        <v>334</v>
      </c>
      <c r="J53" s="223">
        <v>2</v>
      </c>
      <c r="K53" s="223">
        <v>0</v>
      </c>
      <c r="L53" s="17">
        <v>28</v>
      </c>
      <c r="M53" s="223">
        <f>L53/2</f>
        <v>14</v>
      </c>
    </row>
    <row r="54" spans="2:13" x14ac:dyDescent="0.2">
      <c r="B54" s="61" t="s">
        <v>813</v>
      </c>
      <c r="C54" s="55">
        <f>J54/L54*100</f>
        <v>100</v>
      </c>
      <c r="D54" s="55">
        <f>K54/L54*100</f>
        <v>0</v>
      </c>
      <c r="E54" s="78"/>
      <c r="F54" s="78"/>
      <c r="I54" s="61" t="s">
        <v>813</v>
      </c>
      <c r="J54" s="17">
        <v>3</v>
      </c>
      <c r="K54" s="17">
        <v>0</v>
      </c>
      <c r="L54" s="17">
        <v>3</v>
      </c>
      <c r="M54" s="223">
        <f>L54/3</f>
        <v>1</v>
      </c>
    </row>
    <row r="55" spans="2:13" x14ac:dyDescent="0.2">
      <c r="B55" s="61" t="s">
        <v>584</v>
      </c>
      <c r="C55" s="55">
        <v>0</v>
      </c>
      <c r="D55" s="55">
        <v>0</v>
      </c>
      <c r="E55" s="78"/>
      <c r="F55" s="78"/>
      <c r="I55" s="61" t="s">
        <v>584</v>
      </c>
      <c r="J55" s="17">
        <v>0</v>
      </c>
      <c r="K55" s="17">
        <v>0</v>
      </c>
      <c r="L55" s="17">
        <v>0</v>
      </c>
      <c r="M55" s="223">
        <f>L55/4</f>
        <v>0</v>
      </c>
    </row>
    <row r="58" spans="2:13" x14ac:dyDescent="0.2">
      <c r="B58" s="517" t="s">
        <v>1046</v>
      </c>
      <c r="C58" s="518"/>
      <c r="D58" s="519"/>
      <c r="I58" s="517" t="s">
        <v>1046</v>
      </c>
      <c r="J58" s="518"/>
      <c r="K58" s="518"/>
      <c r="L58" s="518"/>
      <c r="M58" s="519"/>
    </row>
    <row r="59" spans="2:13" x14ac:dyDescent="0.2">
      <c r="B59" s="59" t="s">
        <v>810</v>
      </c>
      <c r="C59" s="60" t="s">
        <v>846</v>
      </c>
      <c r="D59" s="60" t="s">
        <v>847</v>
      </c>
      <c r="E59" s="110"/>
      <c r="F59" s="110"/>
      <c r="I59" s="59" t="s">
        <v>810</v>
      </c>
      <c r="J59" s="60" t="s">
        <v>846</v>
      </c>
      <c r="K59" s="60" t="s">
        <v>847</v>
      </c>
      <c r="L59" s="60" t="s">
        <v>811</v>
      </c>
      <c r="M59" s="60" t="s">
        <v>812</v>
      </c>
    </row>
    <row r="60" spans="2:13" x14ac:dyDescent="0.2">
      <c r="B60" s="61" t="s">
        <v>333</v>
      </c>
      <c r="C60" s="55">
        <f>J60/L60*100</f>
        <v>0</v>
      </c>
      <c r="D60" s="55">
        <f>K60/L60*100</f>
        <v>2.5</v>
      </c>
      <c r="E60" s="64"/>
      <c r="F60" s="64"/>
      <c r="I60" s="61" t="s">
        <v>333</v>
      </c>
      <c r="J60" s="223">
        <v>0</v>
      </c>
      <c r="K60" s="223">
        <v>1</v>
      </c>
      <c r="L60" s="17">
        <v>40</v>
      </c>
      <c r="M60" s="223">
        <f>L60/1</f>
        <v>40</v>
      </c>
    </row>
    <row r="61" spans="2:13" x14ac:dyDescent="0.2">
      <c r="B61" s="61" t="s">
        <v>334</v>
      </c>
      <c r="C61" s="55">
        <f>J61/L61*100</f>
        <v>10.344827586206897</v>
      </c>
      <c r="D61" s="55">
        <f>K61/L61*100</f>
        <v>0</v>
      </c>
      <c r="E61" s="64"/>
      <c r="F61" s="64"/>
      <c r="I61" s="61" t="s">
        <v>334</v>
      </c>
      <c r="J61" s="223">
        <v>3</v>
      </c>
      <c r="K61" s="223">
        <v>0</v>
      </c>
      <c r="L61" s="17">
        <v>29</v>
      </c>
      <c r="M61" s="223">
        <f>L61/2</f>
        <v>14.5</v>
      </c>
    </row>
    <row r="62" spans="2:13" x14ac:dyDescent="0.2">
      <c r="B62" s="61" t="s">
        <v>813</v>
      </c>
      <c r="C62" s="55">
        <f>J62/L62*100</f>
        <v>55.555555555555557</v>
      </c>
      <c r="D62" s="55">
        <f>K62/L62*100</f>
        <v>11.111111111111111</v>
      </c>
      <c r="E62" s="58"/>
      <c r="F62" s="58"/>
      <c r="G62" s="66"/>
      <c r="H62" s="66"/>
      <c r="I62" s="61" t="s">
        <v>813</v>
      </c>
      <c r="J62" s="55">
        <v>5</v>
      </c>
      <c r="K62" s="55">
        <v>1</v>
      </c>
      <c r="L62" s="55">
        <v>9</v>
      </c>
      <c r="M62" s="214">
        <f>L62/3</f>
        <v>3</v>
      </c>
    </row>
    <row r="63" spans="2:13" x14ac:dyDescent="0.2">
      <c r="B63" s="61" t="s">
        <v>584</v>
      </c>
      <c r="C63" s="55">
        <v>0</v>
      </c>
      <c r="D63" s="55">
        <v>0</v>
      </c>
      <c r="E63" s="78"/>
      <c r="F63" s="78"/>
      <c r="I63" s="61" t="s">
        <v>584</v>
      </c>
      <c r="J63" s="17">
        <v>0</v>
      </c>
      <c r="K63" s="17">
        <v>0</v>
      </c>
      <c r="L63" s="17">
        <v>0</v>
      </c>
      <c r="M63" s="223">
        <f>L63/4</f>
        <v>0</v>
      </c>
    </row>
    <row r="66" spans="2:13" x14ac:dyDescent="0.2">
      <c r="B66" s="517" t="s">
        <v>194</v>
      </c>
      <c r="C66" s="518"/>
      <c r="D66" s="519"/>
      <c r="I66" s="517" t="s">
        <v>194</v>
      </c>
      <c r="J66" s="518"/>
      <c r="K66" s="518"/>
      <c r="L66" s="518"/>
      <c r="M66" s="519"/>
    </row>
    <row r="67" spans="2:13" x14ac:dyDescent="0.2">
      <c r="B67" s="59" t="s">
        <v>810</v>
      </c>
      <c r="C67" s="60" t="s">
        <v>846</v>
      </c>
      <c r="D67" s="60" t="s">
        <v>847</v>
      </c>
      <c r="E67" s="110"/>
      <c r="F67" s="110"/>
      <c r="I67" s="59" t="s">
        <v>810</v>
      </c>
      <c r="J67" s="60" t="s">
        <v>846</v>
      </c>
      <c r="K67" s="60" t="s">
        <v>847</v>
      </c>
      <c r="L67" s="60" t="s">
        <v>811</v>
      </c>
      <c r="M67" s="60" t="s">
        <v>812</v>
      </c>
    </row>
    <row r="68" spans="2:13" x14ac:dyDescent="0.2">
      <c r="B68" s="61" t="s">
        <v>333</v>
      </c>
      <c r="C68" s="55">
        <f>J68/L68*100</f>
        <v>13.043478260869565</v>
      </c>
      <c r="D68" s="55">
        <f>K68/L68*100</f>
        <v>13.043478260869565</v>
      </c>
      <c r="E68" s="64"/>
      <c r="I68" s="61" t="s">
        <v>333</v>
      </c>
      <c r="J68" s="223">
        <v>3</v>
      </c>
      <c r="K68" s="223">
        <v>3</v>
      </c>
      <c r="L68" s="17">
        <v>23</v>
      </c>
      <c r="M68" s="223">
        <f>L68/1</f>
        <v>23</v>
      </c>
    </row>
    <row r="69" spans="2:13" x14ac:dyDescent="0.2">
      <c r="B69" s="61" t="s">
        <v>334</v>
      </c>
      <c r="C69" s="55">
        <f>J69/L69*100</f>
        <v>15.384615384615385</v>
      </c>
      <c r="D69" s="55">
        <f>K69/L69*100</f>
        <v>3.8461538461538463</v>
      </c>
      <c r="E69" s="64"/>
      <c r="I69" s="61" t="s">
        <v>334</v>
      </c>
      <c r="J69" s="223">
        <v>4</v>
      </c>
      <c r="K69" s="223">
        <v>1</v>
      </c>
      <c r="L69" s="17">
        <v>26</v>
      </c>
      <c r="M69" s="223">
        <f>L69/2</f>
        <v>13</v>
      </c>
    </row>
    <row r="70" spans="2:13" x14ac:dyDescent="0.2">
      <c r="B70" s="61" t="s">
        <v>813</v>
      </c>
      <c r="C70" s="55">
        <f>J70/L70*100</f>
        <v>37.777777777777779</v>
      </c>
      <c r="D70" s="55">
        <f>K70/L70*100</f>
        <v>17.777777777777779</v>
      </c>
      <c r="E70" s="78"/>
      <c r="I70" s="61" t="s">
        <v>813</v>
      </c>
      <c r="J70" s="17">
        <v>17</v>
      </c>
      <c r="K70" s="17">
        <v>8</v>
      </c>
      <c r="L70" s="55">
        <v>45</v>
      </c>
      <c r="M70" s="214">
        <f>L70/3</f>
        <v>15</v>
      </c>
    </row>
    <row r="71" spans="2:13" x14ac:dyDescent="0.2">
      <c r="B71" s="61" t="s">
        <v>584</v>
      </c>
      <c r="C71" s="55">
        <f>J71/L71*100</f>
        <v>63.888888888888886</v>
      </c>
      <c r="D71" s="55">
        <f>K71/L71*100</f>
        <v>20.833333333333336</v>
      </c>
      <c r="E71" s="78"/>
      <c r="F71" s="78"/>
      <c r="I71" s="61" t="s">
        <v>584</v>
      </c>
      <c r="J71" s="17">
        <v>46</v>
      </c>
      <c r="K71" s="17">
        <v>15</v>
      </c>
      <c r="L71" s="17">
        <v>72</v>
      </c>
      <c r="M71" s="223">
        <f>L71/4</f>
        <v>18</v>
      </c>
    </row>
    <row r="74" spans="2:13" x14ac:dyDescent="0.2">
      <c r="B74" s="517" t="s">
        <v>195</v>
      </c>
      <c r="C74" s="518"/>
      <c r="D74" s="519"/>
      <c r="I74" s="517" t="s">
        <v>195</v>
      </c>
      <c r="J74" s="518"/>
      <c r="K74" s="518"/>
      <c r="L74" s="518"/>
      <c r="M74" s="519"/>
    </row>
    <row r="75" spans="2:13" x14ac:dyDescent="0.2">
      <c r="B75" s="59" t="s">
        <v>810</v>
      </c>
      <c r="C75" s="60" t="s">
        <v>846</v>
      </c>
      <c r="D75" s="60" t="s">
        <v>847</v>
      </c>
      <c r="E75" s="110"/>
      <c r="F75" s="110"/>
      <c r="I75" s="59" t="s">
        <v>810</v>
      </c>
      <c r="J75" s="60" t="s">
        <v>846</v>
      </c>
      <c r="K75" s="60" t="s">
        <v>847</v>
      </c>
      <c r="L75" s="60" t="s">
        <v>811</v>
      </c>
      <c r="M75" s="60" t="s">
        <v>812</v>
      </c>
    </row>
    <row r="76" spans="2:13" x14ac:dyDescent="0.2">
      <c r="B76" s="61" t="s">
        <v>333</v>
      </c>
      <c r="C76" s="55">
        <f>J76/L76*100</f>
        <v>10</v>
      </c>
      <c r="D76" s="55">
        <f>K76/L76*100</f>
        <v>0</v>
      </c>
      <c r="E76" s="64"/>
      <c r="F76" s="64"/>
      <c r="I76" s="61" t="s">
        <v>333</v>
      </c>
      <c r="J76" s="223">
        <v>2</v>
      </c>
      <c r="K76" s="223">
        <v>0</v>
      </c>
      <c r="L76" s="17">
        <v>20</v>
      </c>
      <c r="M76" s="223">
        <f>L76/1</f>
        <v>20</v>
      </c>
    </row>
    <row r="77" spans="2:13" x14ac:dyDescent="0.2">
      <c r="B77" s="61" t="s">
        <v>334</v>
      </c>
      <c r="C77" s="55">
        <f>J77/L77*100</f>
        <v>9.0909090909090917</v>
      </c>
      <c r="D77" s="55">
        <f>K77/L77*100</f>
        <v>4.5454545454545459</v>
      </c>
      <c r="E77" s="64"/>
      <c r="F77" s="64"/>
      <c r="I77" s="61" t="s">
        <v>334</v>
      </c>
      <c r="J77" s="223">
        <v>2</v>
      </c>
      <c r="K77" s="223">
        <v>1</v>
      </c>
      <c r="L77" s="17">
        <v>22</v>
      </c>
      <c r="M77" s="223">
        <f>L77/2</f>
        <v>11</v>
      </c>
    </row>
    <row r="78" spans="2:13" x14ac:dyDescent="0.2">
      <c r="B78" s="61" t="s">
        <v>813</v>
      </c>
      <c r="C78" s="55">
        <f>J78/L78*100</f>
        <v>48.888888888888886</v>
      </c>
      <c r="D78" s="55">
        <f>K78/L78*100</f>
        <v>20</v>
      </c>
      <c r="E78" s="78"/>
      <c r="F78" s="78"/>
      <c r="I78" s="61" t="s">
        <v>813</v>
      </c>
      <c r="J78" s="17">
        <v>22</v>
      </c>
      <c r="K78" s="17">
        <v>9</v>
      </c>
      <c r="L78" s="17">
        <v>45</v>
      </c>
      <c r="M78" s="223">
        <f>L78/3</f>
        <v>15</v>
      </c>
    </row>
    <row r="79" spans="2:13" x14ac:dyDescent="0.2">
      <c r="B79" s="61" t="s">
        <v>584</v>
      </c>
      <c r="C79" s="55">
        <f>J79/L79*100</f>
        <v>80</v>
      </c>
      <c r="D79" s="55">
        <f>K79/L79*100</f>
        <v>20</v>
      </c>
      <c r="E79" s="78"/>
      <c r="F79" s="78"/>
      <c r="I79" s="61" t="s">
        <v>584</v>
      </c>
      <c r="J79" s="17">
        <v>48</v>
      </c>
      <c r="K79" s="17">
        <v>12</v>
      </c>
      <c r="L79" s="17">
        <v>60</v>
      </c>
      <c r="M79" s="223">
        <f>L79/4</f>
        <v>15</v>
      </c>
    </row>
    <row r="80" spans="2:13" x14ac:dyDescent="0.2">
      <c r="B80" s="138"/>
      <c r="C80" s="9"/>
      <c r="D80" s="140"/>
      <c r="E80" s="9"/>
      <c r="F80" s="9"/>
      <c r="G80" s="9"/>
      <c r="H80" s="140"/>
      <c r="I80" s="140"/>
    </row>
    <row r="81" spans="2:13" x14ac:dyDescent="0.2">
      <c r="B81" s="138"/>
      <c r="C81" s="9"/>
      <c r="D81" s="140"/>
      <c r="E81" s="9"/>
      <c r="F81" s="9"/>
      <c r="G81" s="9"/>
      <c r="H81" s="140"/>
      <c r="I81" s="140"/>
    </row>
    <row r="82" spans="2:13" x14ac:dyDescent="0.2">
      <c r="B82" s="517" t="s">
        <v>196</v>
      </c>
      <c r="C82" s="518"/>
      <c r="D82" s="519"/>
      <c r="I82" s="517" t="s">
        <v>196</v>
      </c>
      <c r="J82" s="518"/>
      <c r="K82" s="518"/>
      <c r="L82" s="518"/>
      <c r="M82" s="519"/>
    </row>
    <row r="83" spans="2:13" x14ac:dyDescent="0.2">
      <c r="B83" s="59" t="s">
        <v>810</v>
      </c>
      <c r="C83" s="60" t="s">
        <v>846</v>
      </c>
      <c r="D83" s="60" t="s">
        <v>847</v>
      </c>
      <c r="E83" s="110"/>
      <c r="F83" s="110"/>
      <c r="I83" s="59" t="s">
        <v>810</v>
      </c>
      <c r="J83" s="60" t="s">
        <v>846</v>
      </c>
      <c r="K83" s="60" t="s">
        <v>847</v>
      </c>
      <c r="L83" s="60" t="s">
        <v>811</v>
      </c>
      <c r="M83" s="60" t="s">
        <v>812</v>
      </c>
    </row>
    <row r="84" spans="2:13" x14ac:dyDescent="0.2">
      <c r="B84" s="61" t="s">
        <v>333</v>
      </c>
      <c r="C84" s="55">
        <f>J84/L84*100</f>
        <v>9.5238095238095237</v>
      </c>
      <c r="D84" s="55">
        <f>K84/L84*100</f>
        <v>4.7619047619047619</v>
      </c>
      <c r="E84" s="64"/>
      <c r="F84" s="64"/>
      <c r="I84" s="61" t="s">
        <v>333</v>
      </c>
      <c r="J84" s="223">
        <v>2</v>
      </c>
      <c r="K84" s="223">
        <v>1</v>
      </c>
      <c r="L84" s="17">
        <v>21</v>
      </c>
      <c r="M84" s="223">
        <f>L84/1</f>
        <v>21</v>
      </c>
    </row>
    <row r="85" spans="2:13" x14ac:dyDescent="0.2">
      <c r="B85" s="61" t="s">
        <v>334</v>
      </c>
      <c r="C85" s="55">
        <f>J85/L85*100</f>
        <v>16.666666666666664</v>
      </c>
      <c r="D85" s="55">
        <f>K85/L85*100</f>
        <v>4.1666666666666661</v>
      </c>
      <c r="E85" s="64"/>
      <c r="F85" s="64"/>
      <c r="I85" s="61" t="s">
        <v>334</v>
      </c>
      <c r="J85" s="223">
        <v>4</v>
      </c>
      <c r="K85" s="223">
        <v>1</v>
      </c>
      <c r="L85" s="17">
        <v>24</v>
      </c>
      <c r="M85" s="223">
        <f>L85/2</f>
        <v>12</v>
      </c>
    </row>
    <row r="86" spans="2:13" x14ac:dyDescent="0.2">
      <c r="B86" s="61" t="s">
        <v>813</v>
      </c>
      <c r="C86" s="55">
        <f>J86/L86*100</f>
        <v>26.666666666666668</v>
      </c>
      <c r="D86" s="55">
        <f>K86/L86*100</f>
        <v>13.333333333333334</v>
      </c>
      <c r="E86" s="78"/>
      <c r="F86" s="78"/>
      <c r="I86" s="61" t="s">
        <v>813</v>
      </c>
      <c r="J86" s="17">
        <v>12</v>
      </c>
      <c r="K86" s="17">
        <v>6</v>
      </c>
      <c r="L86" s="55">
        <v>45</v>
      </c>
      <c r="M86" s="214">
        <f>L86/3</f>
        <v>15</v>
      </c>
    </row>
    <row r="87" spans="2:13" x14ac:dyDescent="0.2">
      <c r="B87" s="61" t="s">
        <v>584</v>
      </c>
      <c r="C87" s="55">
        <f>J87/L87*100</f>
        <v>68.75</v>
      </c>
      <c r="D87" s="55">
        <f>K87/L87*100</f>
        <v>14.0625</v>
      </c>
      <c r="E87" s="78"/>
      <c r="F87" s="78"/>
      <c r="I87" s="61" t="s">
        <v>584</v>
      </c>
      <c r="J87" s="17">
        <v>44</v>
      </c>
      <c r="K87" s="17">
        <v>9</v>
      </c>
      <c r="L87" s="17">
        <v>64</v>
      </c>
      <c r="M87" s="223">
        <f>L87/4</f>
        <v>16</v>
      </c>
    </row>
    <row r="90" spans="2:13" x14ac:dyDescent="0.2">
      <c r="B90" s="517" t="s">
        <v>197</v>
      </c>
      <c r="C90" s="518"/>
      <c r="D90" s="519"/>
      <c r="I90" s="517" t="s">
        <v>197</v>
      </c>
      <c r="J90" s="518"/>
      <c r="K90" s="518"/>
      <c r="L90" s="518"/>
      <c r="M90" s="519"/>
    </row>
    <row r="91" spans="2:13" x14ac:dyDescent="0.2">
      <c r="B91" s="59" t="s">
        <v>810</v>
      </c>
      <c r="C91" s="60" t="s">
        <v>846</v>
      </c>
      <c r="D91" s="60" t="s">
        <v>847</v>
      </c>
      <c r="E91" s="110"/>
      <c r="F91" s="110"/>
      <c r="I91" s="59" t="s">
        <v>810</v>
      </c>
      <c r="J91" s="60" t="s">
        <v>846</v>
      </c>
      <c r="K91" s="60" t="s">
        <v>847</v>
      </c>
      <c r="L91" s="60" t="s">
        <v>811</v>
      </c>
      <c r="M91" s="60" t="s">
        <v>812</v>
      </c>
    </row>
    <row r="92" spans="2:13" x14ac:dyDescent="0.2">
      <c r="B92" s="61" t="s">
        <v>333</v>
      </c>
      <c r="C92" s="55">
        <f>J92/L92*100</f>
        <v>3.7037037037037033</v>
      </c>
      <c r="D92" s="55">
        <f>K92/L92*100</f>
        <v>3.7037037037037033</v>
      </c>
      <c r="E92" s="64"/>
      <c r="I92" s="61" t="s">
        <v>333</v>
      </c>
      <c r="J92" s="223">
        <v>1</v>
      </c>
      <c r="K92" s="223">
        <v>1</v>
      </c>
      <c r="L92" s="17">
        <v>27</v>
      </c>
      <c r="M92" s="223">
        <f>L92/1</f>
        <v>27</v>
      </c>
    </row>
    <row r="93" spans="2:13" x14ac:dyDescent="0.2">
      <c r="B93" s="61" t="s">
        <v>334</v>
      </c>
      <c r="C93" s="55">
        <f>J93/L93*100</f>
        <v>5.5555555555555554</v>
      </c>
      <c r="D93" s="55">
        <f>K93/L93*100</f>
        <v>5.5555555555555554</v>
      </c>
      <c r="E93" s="64"/>
      <c r="I93" s="61" t="s">
        <v>334</v>
      </c>
      <c r="J93" s="223">
        <v>1</v>
      </c>
      <c r="K93" s="223">
        <v>1</v>
      </c>
      <c r="L93" s="17">
        <v>18</v>
      </c>
      <c r="M93" s="223">
        <f>L93/2</f>
        <v>9</v>
      </c>
    </row>
    <row r="94" spans="2:13" x14ac:dyDescent="0.2">
      <c r="B94" s="61" t="s">
        <v>813</v>
      </c>
      <c r="C94" s="55">
        <f>J94/L94*100</f>
        <v>38.461538461538467</v>
      </c>
      <c r="D94" s="55">
        <f>K94/L94*100</f>
        <v>12.820512820512819</v>
      </c>
      <c r="E94" s="78"/>
      <c r="I94" s="61" t="s">
        <v>813</v>
      </c>
      <c r="J94" s="17">
        <v>15</v>
      </c>
      <c r="K94" s="17">
        <v>5</v>
      </c>
      <c r="L94" s="55">
        <v>39</v>
      </c>
      <c r="M94" s="214">
        <f>L94/3</f>
        <v>13</v>
      </c>
    </row>
    <row r="95" spans="2:13" x14ac:dyDescent="0.2">
      <c r="B95" s="61" t="s">
        <v>584</v>
      </c>
      <c r="C95" s="55">
        <f>J95/L95*100</f>
        <v>70.3125</v>
      </c>
      <c r="D95" s="55">
        <f>K95/L95*100</f>
        <v>18.75</v>
      </c>
      <c r="E95" s="78"/>
      <c r="I95" s="61" t="s">
        <v>584</v>
      </c>
      <c r="J95" s="17">
        <v>45</v>
      </c>
      <c r="K95" s="17">
        <v>12</v>
      </c>
      <c r="L95" s="55">
        <v>64</v>
      </c>
      <c r="M95" s="214">
        <f>L95/4</f>
        <v>16</v>
      </c>
    </row>
    <row r="98" spans="2:13" x14ac:dyDescent="0.2">
      <c r="B98" s="517" t="s">
        <v>198</v>
      </c>
      <c r="C98" s="518"/>
      <c r="D98" s="519"/>
      <c r="I98" s="517" t="s">
        <v>198</v>
      </c>
      <c r="J98" s="518"/>
      <c r="K98" s="518"/>
      <c r="L98" s="518"/>
      <c r="M98" s="519"/>
    </row>
    <row r="99" spans="2:13" x14ac:dyDescent="0.2">
      <c r="B99" s="59" t="s">
        <v>810</v>
      </c>
      <c r="C99" s="60" t="s">
        <v>846</v>
      </c>
      <c r="D99" s="60" t="s">
        <v>847</v>
      </c>
      <c r="E99" s="110"/>
      <c r="F99" s="110"/>
      <c r="I99" s="59" t="s">
        <v>810</v>
      </c>
      <c r="J99" s="60" t="s">
        <v>846</v>
      </c>
      <c r="K99" s="60" t="s">
        <v>847</v>
      </c>
      <c r="L99" s="60" t="s">
        <v>811</v>
      </c>
      <c r="M99" s="60" t="s">
        <v>812</v>
      </c>
    </row>
    <row r="100" spans="2:13" x14ac:dyDescent="0.2">
      <c r="B100" s="61" t="s">
        <v>333</v>
      </c>
      <c r="C100" s="55">
        <f>J100/L100*100</f>
        <v>11.111111111111111</v>
      </c>
      <c r="D100" s="55">
        <f>K100/L100*100</f>
        <v>11.111111111111111</v>
      </c>
      <c r="E100" s="64"/>
      <c r="F100" s="64"/>
      <c r="I100" s="61" t="s">
        <v>333</v>
      </c>
      <c r="J100" s="223">
        <v>1</v>
      </c>
      <c r="K100" s="223">
        <v>1</v>
      </c>
      <c r="L100" s="17">
        <v>9</v>
      </c>
      <c r="M100" s="265">
        <f>L100/1</f>
        <v>9</v>
      </c>
    </row>
    <row r="101" spans="2:13" x14ac:dyDescent="0.2">
      <c r="B101" s="61" t="s">
        <v>334</v>
      </c>
      <c r="C101" s="55">
        <f>J101/L101*100</f>
        <v>18.181818181818183</v>
      </c>
      <c r="D101" s="55">
        <f>K101/L101*100</f>
        <v>4.5454545454545459</v>
      </c>
      <c r="E101" s="64"/>
      <c r="F101" s="64"/>
      <c r="I101" s="61" t="s">
        <v>334</v>
      </c>
      <c r="J101" s="223">
        <v>4</v>
      </c>
      <c r="K101" s="223">
        <v>1</v>
      </c>
      <c r="L101" s="17">
        <v>22</v>
      </c>
      <c r="M101" s="265">
        <f>L101/2</f>
        <v>11</v>
      </c>
    </row>
    <row r="102" spans="2:13" x14ac:dyDescent="0.2">
      <c r="B102" s="61" t="s">
        <v>813</v>
      </c>
      <c r="C102" s="55">
        <f>J102/L102*100</f>
        <v>28.888888888888886</v>
      </c>
      <c r="D102" s="55">
        <f>K102/L102*100</f>
        <v>15.555555555555555</v>
      </c>
      <c r="E102" s="78"/>
      <c r="F102" s="78"/>
      <c r="I102" s="61" t="s">
        <v>813</v>
      </c>
      <c r="J102" s="17">
        <v>13</v>
      </c>
      <c r="K102" s="17">
        <v>7</v>
      </c>
      <c r="L102" s="17">
        <v>45</v>
      </c>
      <c r="M102" s="265">
        <f>L102/3</f>
        <v>15</v>
      </c>
    </row>
    <row r="103" spans="2:13" x14ac:dyDescent="0.2">
      <c r="B103" s="61" t="s">
        <v>584</v>
      </c>
      <c r="C103" s="55">
        <f>J103/L103*100</f>
        <v>68.055555555555557</v>
      </c>
      <c r="D103" s="55">
        <f>K103/L103*100</f>
        <v>15.277777777777779</v>
      </c>
      <c r="E103" s="78"/>
      <c r="F103" s="78"/>
      <c r="I103" s="61" t="s">
        <v>584</v>
      </c>
      <c r="J103" s="17">
        <v>49</v>
      </c>
      <c r="K103" s="17">
        <v>11</v>
      </c>
      <c r="L103" s="17">
        <v>72</v>
      </c>
      <c r="M103" s="265">
        <f>L103/4</f>
        <v>18</v>
      </c>
    </row>
    <row r="106" spans="2:13" x14ac:dyDescent="0.2">
      <c r="B106" s="517" t="s">
        <v>199</v>
      </c>
      <c r="C106" s="518"/>
      <c r="D106" s="519"/>
      <c r="I106" s="517" t="s">
        <v>199</v>
      </c>
      <c r="J106" s="518"/>
      <c r="K106" s="518"/>
      <c r="L106" s="518"/>
      <c r="M106" s="519"/>
    </row>
    <row r="107" spans="2:13" x14ac:dyDescent="0.2">
      <c r="B107" s="59" t="s">
        <v>810</v>
      </c>
      <c r="C107" s="60" t="s">
        <v>846</v>
      </c>
      <c r="D107" s="60" t="s">
        <v>847</v>
      </c>
      <c r="E107" s="110"/>
      <c r="F107" s="110"/>
      <c r="I107" s="59" t="s">
        <v>810</v>
      </c>
      <c r="J107" s="60" t="s">
        <v>846</v>
      </c>
      <c r="K107" s="60" t="s">
        <v>847</v>
      </c>
      <c r="L107" s="60" t="s">
        <v>811</v>
      </c>
      <c r="M107" s="60" t="s">
        <v>812</v>
      </c>
    </row>
    <row r="108" spans="2:13" x14ac:dyDescent="0.2">
      <c r="B108" s="61" t="s">
        <v>333</v>
      </c>
      <c r="C108" s="55">
        <f>J108/L108*100</f>
        <v>5.2631578947368416</v>
      </c>
      <c r="D108" s="55">
        <f>K108/L108*100</f>
        <v>5.2631578947368416</v>
      </c>
      <c r="E108" s="64"/>
      <c r="F108" s="64"/>
      <c r="I108" s="61" t="s">
        <v>333</v>
      </c>
      <c r="J108" s="223">
        <v>1</v>
      </c>
      <c r="K108" s="223">
        <v>1</v>
      </c>
      <c r="L108" s="17">
        <v>19</v>
      </c>
      <c r="M108" s="265">
        <f>L108/1</f>
        <v>19</v>
      </c>
    </row>
    <row r="109" spans="2:13" x14ac:dyDescent="0.2">
      <c r="B109" s="61" t="s">
        <v>334</v>
      </c>
      <c r="C109" s="55">
        <f>J109/L109*100</f>
        <v>10</v>
      </c>
      <c r="D109" s="55">
        <f>K109/L109*100</f>
        <v>5</v>
      </c>
      <c r="E109" s="64"/>
      <c r="F109" s="64"/>
      <c r="I109" s="61" t="s">
        <v>334</v>
      </c>
      <c r="J109" s="223">
        <v>2</v>
      </c>
      <c r="K109" s="223">
        <v>1</v>
      </c>
      <c r="L109" s="17">
        <v>20</v>
      </c>
      <c r="M109" s="265">
        <f>L109/2</f>
        <v>10</v>
      </c>
    </row>
    <row r="110" spans="2:13" x14ac:dyDescent="0.2">
      <c r="B110" s="61" t="s">
        <v>813</v>
      </c>
      <c r="C110" s="55">
        <f>J110/L110*100</f>
        <v>47.222222222222221</v>
      </c>
      <c r="D110" s="55">
        <f>K110/L110*100</f>
        <v>22.222222222222221</v>
      </c>
      <c r="E110" s="78"/>
      <c r="F110" s="78"/>
      <c r="I110" s="61" t="s">
        <v>813</v>
      </c>
      <c r="J110" s="17">
        <v>17</v>
      </c>
      <c r="K110" s="17">
        <v>8</v>
      </c>
      <c r="L110" s="17">
        <v>36</v>
      </c>
      <c r="M110" s="265">
        <f>L110/3</f>
        <v>12</v>
      </c>
    </row>
    <row r="111" spans="2:13" x14ac:dyDescent="0.2">
      <c r="B111" s="61" t="s">
        <v>584</v>
      </c>
      <c r="C111" s="55">
        <f>J111/L111*100</f>
        <v>60.9375</v>
      </c>
      <c r="D111" s="55">
        <f>K111/L111*100</f>
        <v>23.4375</v>
      </c>
      <c r="E111" s="78"/>
      <c r="F111" s="78"/>
      <c r="I111" s="61" t="s">
        <v>584</v>
      </c>
      <c r="J111" s="17">
        <v>39</v>
      </c>
      <c r="K111" s="17">
        <v>15</v>
      </c>
      <c r="L111" s="17">
        <v>64</v>
      </c>
      <c r="M111" s="265">
        <f>L111/4</f>
        <v>16</v>
      </c>
    </row>
    <row r="114" spans="2:13" x14ac:dyDescent="0.2">
      <c r="B114" s="517" t="s">
        <v>200</v>
      </c>
      <c r="C114" s="518"/>
      <c r="D114" s="519"/>
      <c r="I114" s="517" t="s">
        <v>200</v>
      </c>
      <c r="J114" s="518"/>
      <c r="K114" s="518"/>
      <c r="L114" s="518"/>
      <c r="M114" s="519"/>
    </row>
    <row r="115" spans="2:13" x14ac:dyDescent="0.2">
      <c r="B115" s="59" t="s">
        <v>810</v>
      </c>
      <c r="C115" s="60" t="s">
        <v>846</v>
      </c>
      <c r="D115" s="60" t="s">
        <v>847</v>
      </c>
      <c r="E115" s="110"/>
      <c r="I115" s="59" t="s">
        <v>810</v>
      </c>
      <c r="J115" s="60" t="s">
        <v>846</v>
      </c>
      <c r="K115" s="60" t="s">
        <v>847</v>
      </c>
      <c r="L115" s="60" t="s">
        <v>811</v>
      </c>
      <c r="M115" s="60" t="s">
        <v>812</v>
      </c>
    </row>
    <row r="116" spans="2:13" x14ac:dyDescent="0.2">
      <c r="B116" s="61" t="s">
        <v>333</v>
      </c>
      <c r="C116" s="55">
        <f>J116/L116*100</f>
        <v>28.125</v>
      </c>
      <c r="D116" s="55">
        <f>K116/L116*100</f>
        <v>0</v>
      </c>
      <c r="E116" s="64"/>
      <c r="I116" s="61" t="s">
        <v>333</v>
      </c>
      <c r="J116" s="223">
        <v>9</v>
      </c>
      <c r="K116" s="223">
        <v>0</v>
      </c>
      <c r="L116" s="17">
        <v>32</v>
      </c>
      <c r="M116" s="265">
        <f>L116/1</f>
        <v>32</v>
      </c>
    </row>
    <row r="117" spans="2:13" x14ac:dyDescent="0.2">
      <c r="B117" s="61" t="s">
        <v>334</v>
      </c>
      <c r="C117" s="55">
        <f>J117/L117*100</f>
        <v>23.333333333333332</v>
      </c>
      <c r="D117" s="55">
        <f>K117/L117*100</f>
        <v>3.3333333333333335</v>
      </c>
      <c r="E117" s="64"/>
      <c r="I117" s="61" t="s">
        <v>334</v>
      </c>
      <c r="J117" s="223">
        <v>7</v>
      </c>
      <c r="K117" s="223">
        <v>1</v>
      </c>
      <c r="L117" s="17">
        <v>30</v>
      </c>
      <c r="M117" s="265">
        <f>L117/2</f>
        <v>15</v>
      </c>
    </row>
    <row r="118" spans="2:13" x14ac:dyDescent="0.2">
      <c r="B118" s="61" t="s">
        <v>813</v>
      </c>
      <c r="C118" s="55">
        <f>J118/L118*100</f>
        <v>56.410256410256409</v>
      </c>
      <c r="D118" s="55">
        <f>K118/L118*100</f>
        <v>20.512820512820511</v>
      </c>
      <c r="E118" s="78"/>
      <c r="I118" s="61" t="s">
        <v>813</v>
      </c>
      <c r="J118" s="17">
        <v>22</v>
      </c>
      <c r="K118" s="17">
        <v>8</v>
      </c>
      <c r="L118" s="17">
        <v>39</v>
      </c>
      <c r="M118" s="265">
        <f>L118/3</f>
        <v>13</v>
      </c>
    </row>
    <row r="119" spans="2:13" x14ac:dyDescent="0.2">
      <c r="B119" s="61" t="s">
        <v>584</v>
      </c>
      <c r="C119" s="55">
        <f>J119/L119*100</f>
        <v>68.75</v>
      </c>
      <c r="D119" s="55">
        <f>K119/L119*100</f>
        <v>22.916666666666664</v>
      </c>
      <c r="E119" s="78"/>
      <c r="F119" s="78"/>
      <c r="I119" s="61" t="s">
        <v>584</v>
      </c>
      <c r="J119" s="17">
        <v>66</v>
      </c>
      <c r="K119" s="17">
        <v>22</v>
      </c>
      <c r="L119" s="55">
        <v>96</v>
      </c>
      <c r="M119" s="214">
        <f>L119/4</f>
        <v>24</v>
      </c>
    </row>
    <row r="122" spans="2:13" x14ac:dyDescent="0.2">
      <c r="B122" s="517" t="s">
        <v>201</v>
      </c>
      <c r="C122" s="518"/>
      <c r="D122" s="519"/>
      <c r="I122" s="517" t="s">
        <v>201</v>
      </c>
      <c r="J122" s="518"/>
      <c r="K122" s="518"/>
      <c r="L122" s="518"/>
      <c r="M122" s="519"/>
    </row>
    <row r="123" spans="2:13" x14ac:dyDescent="0.2">
      <c r="B123" s="59" t="s">
        <v>810</v>
      </c>
      <c r="C123" s="60" t="s">
        <v>846</v>
      </c>
      <c r="D123" s="60" t="s">
        <v>847</v>
      </c>
      <c r="E123" s="110"/>
      <c r="F123" s="110"/>
      <c r="I123" s="59" t="s">
        <v>810</v>
      </c>
      <c r="J123" s="60" t="s">
        <v>846</v>
      </c>
      <c r="K123" s="60" t="s">
        <v>847</v>
      </c>
      <c r="L123" s="60" t="s">
        <v>811</v>
      </c>
      <c r="M123" s="60" t="s">
        <v>812</v>
      </c>
    </row>
    <row r="124" spans="2:13" x14ac:dyDescent="0.2">
      <c r="B124" s="61" t="s">
        <v>333</v>
      </c>
      <c r="C124" s="55">
        <f>J124/L124*100</f>
        <v>42.857142857142854</v>
      </c>
      <c r="D124" s="55">
        <f>K124/L124*100</f>
        <v>0</v>
      </c>
      <c r="E124" s="64"/>
      <c r="F124" s="64"/>
      <c r="I124" s="61" t="s">
        <v>333</v>
      </c>
      <c r="J124" s="223">
        <v>12</v>
      </c>
      <c r="K124" s="223">
        <v>0</v>
      </c>
      <c r="L124" s="17">
        <v>28</v>
      </c>
      <c r="M124" s="265">
        <f>L124/1</f>
        <v>28</v>
      </c>
    </row>
    <row r="125" spans="2:13" x14ac:dyDescent="0.2">
      <c r="B125" s="61" t="s">
        <v>334</v>
      </c>
      <c r="C125" s="55">
        <f>J125/L125*100</f>
        <v>16.666666666666664</v>
      </c>
      <c r="D125" s="55">
        <f>K125/L125*100</f>
        <v>4.1666666666666661</v>
      </c>
      <c r="E125" s="64"/>
      <c r="F125" s="64"/>
      <c r="I125" s="61" t="s">
        <v>334</v>
      </c>
      <c r="J125" s="223">
        <v>4</v>
      </c>
      <c r="K125" s="223">
        <v>1</v>
      </c>
      <c r="L125" s="17">
        <v>24</v>
      </c>
      <c r="M125" s="265">
        <f>L125/2</f>
        <v>12</v>
      </c>
    </row>
    <row r="126" spans="2:13" x14ac:dyDescent="0.2">
      <c r="B126" s="61" t="s">
        <v>813</v>
      </c>
      <c r="C126" s="55">
        <f>J126/L126*100</f>
        <v>42.857142857142854</v>
      </c>
      <c r="D126" s="55">
        <f>K126/L126*100</f>
        <v>9.5238095238095237</v>
      </c>
      <c r="E126" s="78"/>
      <c r="F126" s="78"/>
      <c r="I126" s="61" t="s">
        <v>813</v>
      </c>
      <c r="J126" s="17">
        <v>18</v>
      </c>
      <c r="K126" s="17">
        <v>4</v>
      </c>
      <c r="L126" s="17">
        <v>42</v>
      </c>
      <c r="M126" s="265">
        <f>L126/3</f>
        <v>14</v>
      </c>
    </row>
    <row r="127" spans="2:13" x14ac:dyDescent="0.2">
      <c r="B127" s="61" t="s">
        <v>584</v>
      </c>
      <c r="C127" s="55">
        <f>J127/L127*100</f>
        <v>60</v>
      </c>
      <c r="D127" s="55">
        <f>K127/L127*100</f>
        <v>17.5</v>
      </c>
      <c r="E127" s="78"/>
      <c r="F127" s="78"/>
      <c r="I127" s="61" t="s">
        <v>584</v>
      </c>
      <c r="J127" s="17">
        <v>48</v>
      </c>
      <c r="K127" s="17">
        <v>14</v>
      </c>
      <c r="L127" s="55">
        <v>80</v>
      </c>
      <c r="M127" s="214">
        <f>L127/4</f>
        <v>20</v>
      </c>
    </row>
    <row r="128" spans="2:13" x14ac:dyDescent="0.2">
      <c r="L128" s="66"/>
      <c r="M128" s="66"/>
    </row>
    <row r="130" spans="1:13" x14ac:dyDescent="0.2">
      <c r="B130" s="517" t="s">
        <v>202</v>
      </c>
      <c r="C130" s="518"/>
      <c r="D130" s="519"/>
      <c r="I130" s="517" t="s">
        <v>202</v>
      </c>
      <c r="J130" s="518"/>
      <c r="K130" s="518"/>
      <c r="L130" s="518"/>
      <c r="M130" s="519"/>
    </row>
    <row r="131" spans="1:13" x14ac:dyDescent="0.2">
      <c r="B131" s="59" t="s">
        <v>810</v>
      </c>
      <c r="C131" s="60" t="s">
        <v>846</v>
      </c>
      <c r="D131" s="60" t="s">
        <v>847</v>
      </c>
      <c r="E131" s="110"/>
      <c r="F131" s="110"/>
      <c r="I131" s="59" t="s">
        <v>810</v>
      </c>
      <c r="J131" s="60" t="s">
        <v>846</v>
      </c>
      <c r="K131" s="60" t="s">
        <v>847</v>
      </c>
      <c r="L131" s="60" t="s">
        <v>811</v>
      </c>
      <c r="M131" s="60" t="s">
        <v>812</v>
      </c>
    </row>
    <row r="132" spans="1:13" x14ac:dyDescent="0.2">
      <c r="B132" s="61" t="s">
        <v>333</v>
      </c>
      <c r="C132" s="55">
        <f>J132/L132*100</f>
        <v>56.666666666666664</v>
      </c>
      <c r="D132" s="55">
        <f>K132/L132*100</f>
        <v>0</v>
      </c>
      <c r="E132" s="64"/>
      <c r="F132" s="64"/>
      <c r="I132" s="61" t="s">
        <v>333</v>
      </c>
      <c r="J132" s="223">
        <v>17</v>
      </c>
      <c r="K132" s="223">
        <v>0</v>
      </c>
      <c r="L132" s="17">
        <v>30</v>
      </c>
      <c r="M132" s="265">
        <f>L132/1</f>
        <v>30</v>
      </c>
    </row>
    <row r="133" spans="1:13" x14ac:dyDescent="0.2">
      <c r="B133" s="61" t="s">
        <v>334</v>
      </c>
      <c r="C133" s="55">
        <f>J133/L133*100</f>
        <v>7.1428571428571423</v>
      </c>
      <c r="D133" s="55">
        <f>K133/L133*100</f>
        <v>3.5714285714285712</v>
      </c>
      <c r="E133" s="64"/>
      <c r="F133" s="64"/>
      <c r="I133" s="61" t="s">
        <v>334</v>
      </c>
      <c r="J133" s="223">
        <v>2</v>
      </c>
      <c r="K133" s="223">
        <v>1</v>
      </c>
      <c r="L133" s="17">
        <v>28</v>
      </c>
      <c r="M133" s="265">
        <f>L133/2</f>
        <v>14</v>
      </c>
    </row>
    <row r="134" spans="1:13" x14ac:dyDescent="0.2">
      <c r="B134" s="61" t="s">
        <v>813</v>
      </c>
      <c r="C134" s="55">
        <f>J134/L134*100</f>
        <v>28.205128205128204</v>
      </c>
      <c r="D134" s="55">
        <f>K134/L134*100</f>
        <v>28.205128205128204</v>
      </c>
      <c r="E134" s="78"/>
      <c r="F134" s="78"/>
      <c r="I134" s="61" t="s">
        <v>813</v>
      </c>
      <c r="J134" s="17">
        <v>11</v>
      </c>
      <c r="K134" s="17">
        <v>11</v>
      </c>
      <c r="L134" s="17">
        <v>39</v>
      </c>
      <c r="M134" s="265">
        <f>L134/3</f>
        <v>13</v>
      </c>
    </row>
    <row r="135" spans="1:13" x14ac:dyDescent="0.2">
      <c r="B135" s="61" t="s">
        <v>584</v>
      </c>
      <c r="C135" s="55">
        <f>J135/L135*100</f>
        <v>75</v>
      </c>
      <c r="D135" s="55">
        <f>K135/L135*100</f>
        <v>20.454545454545457</v>
      </c>
      <c r="E135" s="78"/>
      <c r="F135" s="78"/>
      <c r="I135" s="61" t="s">
        <v>584</v>
      </c>
      <c r="J135" s="17">
        <v>66</v>
      </c>
      <c r="K135" s="17">
        <v>18</v>
      </c>
      <c r="L135" s="17">
        <v>88</v>
      </c>
      <c r="M135" s="265">
        <f>L135/4</f>
        <v>22</v>
      </c>
    </row>
    <row r="136" spans="1:13" x14ac:dyDescent="0.2">
      <c r="B136" s="63"/>
      <c r="C136" s="64"/>
      <c r="D136" s="64"/>
      <c r="E136" s="78"/>
      <c r="F136" s="78"/>
      <c r="I136" s="63"/>
      <c r="J136" s="68"/>
      <c r="K136" s="68"/>
      <c r="L136" s="68"/>
      <c r="M136" s="244"/>
    </row>
    <row r="138" spans="1:13" x14ac:dyDescent="0.2">
      <c r="A138" s="68" t="s">
        <v>51</v>
      </c>
      <c r="B138" s="528" t="s">
        <v>1</v>
      </c>
      <c r="C138" s="529"/>
      <c r="D138" s="530"/>
      <c r="E138" s="66"/>
      <c r="F138" s="66"/>
      <c r="G138" s="66"/>
      <c r="H138" s="66"/>
    </row>
    <row r="139" spans="1:13" x14ac:dyDescent="0.2">
      <c r="B139" s="59" t="s">
        <v>810</v>
      </c>
      <c r="C139" s="60" t="s">
        <v>846</v>
      </c>
      <c r="D139" s="60" t="s">
        <v>847</v>
      </c>
      <c r="E139" s="66"/>
      <c r="F139" s="66"/>
      <c r="G139" s="66"/>
      <c r="H139" s="66"/>
      <c r="I139" s="59" t="s">
        <v>1043</v>
      </c>
      <c r="J139" s="60" t="s">
        <v>336</v>
      </c>
    </row>
    <row r="140" spans="1:13" x14ac:dyDescent="0.2">
      <c r="B140" s="61" t="s">
        <v>333</v>
      </c>
      <c r="C140" s="55">
        <f>AVERAGE(C12,C20,C28,C36,C44,C52,C60)</f>
        <v>1.1445399726000798</v>
      </c>
      <c r="D140" s="55">
        <f t="shared" ref="C140:D143" si="0">AVERAGE(D12,D20,D28,D36,D44,D52,D60)</f>
        <v>2.5288020853163649</v>
      </c>
      <c r="E140" s="66"/>
      <c r="F140" s="66"/>
      <c r="G140" s="66"/>
      <c r="H140" s="66"/>
      <c r="I140" s="61" t="s">
        <v>203</v>
      </c>
      <c r="J140" s="210">
        <f>SUM(M12:M15,M20:M23,M28:M31,M36:M39,M44:M47,M52:M54,M55,M60:M63)</f>
        <v>400.5</v>
      </c>
    </row>
    <row r="141" spans="1:13" x14ac:dyDescent="0.2">
      <c r="B141" s="61" t="s">
        <v>334</v>
      </c>
      <c r="C141" s="55">
        <f t="shared" si="0"/>
        <v>7.39469925901395</v>
      </c>
      <c r="D141" s="55">
        <f t="shared" si="0"/>
        <v>1.7069327731092439</v>
      </c>
      <c r="E141" s="66"/>
      <c r="F141" s="66"/>
      <c r="G141" s="66"/>
      <c r="H141" s="66"/>
      <c r="I141" s="61" t="s">
        <v>2</v>
      </c>
      <c r="J141" s="210">
        <f>SUM(M68:M71,M76:M79,M84:M87)</f>
        <v>194</v>
      </c>
    </row>
    <row r="142" spans="1:13" x14ac:dyDescent="0.2">
      <c r="B142" s="61" t="s">
        <v>813</v>
      </c>
      <c r="C142" s="55">
        <f t="shared" si="0"/>
        <v>85.317460317460316</v>
      </c>
      <c r="D142" s="55">
        <f>AVERAGE(D14,D22,D30,D38,D46,D54,D62)</f>
        <v>2.7777777777777777</v>
      </c>
      <c r="E142" s="66"/>
      <c r="F142" s="66"/>
      <c r="G142" s="66"/>
      <c r="H142" s="66"/>
      <c r="I142" s="61" t="s">
        <v>3</v>
      </c>
      <c r="J142" s="83">
        <f>SUM(M92:M95,M100:M103,M108:M111)</f>
        <v>175</v>
      </c>
    </row>
    <row r="143" spans="1:13" x14ac:dyDescent="0.2">
      <c r="B143" s="61" t="s">
        <v>584</v>
      </c>
      <c r="C143" s="55">
        <f t="shared" si="0"/>
        <v>0</v>
      </c>
      <c r="D143" s="55">
        <f t="shared" si="0"/>
        <v>0</v>
      </c>
      <c r="E143" s="66"/>
      <c r="F143" s="66"/>
      <c r="G143" s="66"/>
      <c r="H143" s="66"/>
      <c r="I143" s="61" t="s">
        <v>4</v>
      </c>
      <c r="J143" s="17">
        <f>SUM(M116:M119,M124:M127,M132:M135)</f>
        <v>237</v>
      </c>
    </row>
    <row r="144" spans="1:13" x14ac:dyDescent="0.2">
      <c r="B144" s="63"/>
      <c r="C144" s="64"/>
      <c r="D144" s="64"/>
      <c r="E144" s="66"/>
      <c r="F144" s="66"/>
      <c r="G144" s="66"/>
      <c r="H144" s="66"/>
    </row>
    <row r="145" spans="1:8" x14ac:dyDescent="0.2">
      <c r="C145" s="66"/>
      <c r="D145" s="66"/>
      <c r="E145" s="66"/>
      <c r="F145" s="66"/>
      <c r="G145" s="66"/>
      <c r="H145" s="66"/>
    </row>
    <row r="146" spans="1:8" x14ac:dyDescent="0.2">
      <c r="A146" s="68" t="s">
        <v>51</v>
      </c>
      <c r="B146" s="528" t="s">
        <v>2</v>
      </c>
      <c r="C146" s="529"/>
      <c r="D146" s="530"/>
      <c r="E146" s="66"/>
      <c r="F146" s="66"/>
      <c r="G146" s="66"/>
      <c r="H146" s="66"/>
    </row>
    <row r="147" spans="1:8" x14ac:dyDescent="0.2">
      <c r="B147" s="59" t="s">
        <v>810</v>
      </c>
      <c r="C147" s="60" t="s">
        <v>846</v>
      </c>
      <c r="D147" s="60" t="s">
        <v>847</v>
      </c>
      <c r="E147" s="66"/>
      <c r="F147" s="66"/>
      <c r="G147" s="66"/>
      <c r="H147" s="66"/>
    </row>
    <row r="148" spans="1:8" x14ac:dyDescent="0.2">
      <c r="B148" s="61" t="s">
        <v>333</v>
      </c>
      <c r="C148" s="55">
        <f t="shared" ref="C148:D151" si="1">AVERAGE(C68,C76,C84)</f>
        <v>10.855762594893029</v>
      </c>
      <c r="D148" s="55">
        <f t="shared" si="1"/>
        <v>5.9351276742581085</v>
      </c>
      <c r="E148" s="66"/>
      <c r="F148" s="66"/>
      <c r="G148" s="66"/>
      <c r="H148" s="66"/>
    </row>
    <row r="149" spans="1:8" x14ac:dyDescent="0.2">
      <c r="B149" s="61" t="s">
        <v>334</v>
      </c>
      <c r="C149" s="55">
        <f t="shared" si="1"/>
        <v>13.714063714063712</v>
      </c>
      <c r="D149" s="55">
        <f t="shared" si="1"/>
        <v>4.1860916860916859</v>
      </c>
      <c r="E149" s="66"/>
      <c r="F149" s="66"/>
      <c r="G149" s="66"/>
      <c r="H149" s="66"/>
    </row>
    <row r="150" spans="1:8" x14ac:dyDescent="0.2">
      <c r="B150" s="61" t="s">
        <v>813</v>
      </c>
      <c r="C150" s="55">
        <f t="shared" si="1"/>
        <v>37.777777777777779</v>
      </c>
      <c r="D150" s="55">
        <f t="shared" si="1"/>
        <v>17.037037037037038</v>
      </c>
      <c r="E150" s="66"/>
      <c r="F150" s="66"/>
      <c r="G150" s="66"/>
      <c r="H150" s="66"/>
    </row>
    <row r="151" spans="1:8" x14ac:dyDescent="0.2">
      <c r="B151" s="61" t="s">
        <v>584</v>
      </c>
      <c r="C151" s="55">
        <f t="shared" si="1"/>
        <v>70.879629629629633</v>
      </c>
      <c r="D151" s="55">
        <f t="shared" si="1"/>
        <v>18.298611111111111</v>
      </c>
      <c r="E151" s="66"/>
      <c r="F151" s="66"/>
      <c r="G151" s="66"/>
      <c r="H151" s="66"/>
    </row>
    <row r="152" spans="1:8" x14ac:dyDescent="0.2">
      <c r="B152" s="63"/>
      <c r="C152" s="64"/>
      <c r="D152" s="64"/>
      <c r="E152" s="66"/>
      <c r="F152" s="66"/>
      <c r="G152" s="66"/>
      <c r="H152" s="66"/>
    </row>
    <row r="153" spans="1:8" x14ac:dyDescent="0.2">
      <c r="B153" s="63"/>
      <c r="C153" s="64"/>
      <c r="D153" s="64"/>
      <c r="E153" s="66"/>
      <c r="F153" s="66"/>
      <c r="G153" s="66"/>
      <c r="H153" s="66"/>
    </row>
    <row r="154" spans="1:8" x14ac:dyDescent="0.2">
      <c r="A154" s="68" t="s">
        <v>51</v>
      </c>
      <c r="B154" s="528" t="s">
        <v>3</v>
      </c>
      <c r="C154" s="529"/>
      <c r="D154" s="530"/>
      <c r="E154" s="66"/>
      <c r="F154" s="66"/>
      <c r="G154" s="66"/>
      <c r="H154" s="66"/>
    </row>
    <row r="155" spans="1:8" x14ac:dyDescent="0.2">
      <c r="B155" s="59" t="s">
        <v>810</v>
      </c>
      <c r="C155" s="60" t="s">
        <v>846</v>
      </c>
      <c r="D155" s="60" t="s">
        <v>847</v>
      </c>
      <c r="E155" s="66"/>
      <c r="F155" s="66"/>
      <c r="G155" s="66"/>
      <c r="H155" s="66"/>
    </row>
    <row r="156" spans="1:8" x14ac:dyDescent="0.2">
      <c r="B156" s="61" t="s">
        <v>333</v>
      </c>
      <c r="C156" s="55">
        <f t="shared" ref="C156:D159" si="2">AVERAGE(C92,C100,C108)</f>
        <v>6.6926575698505522</v>
      </c>
      <c r="D156" s="55">
        <f t="shared" si="2"/>
        <v>6.6926575698505522</v>
      </c>
      <c r="E156" s="66"/>
      <c r="F156" s="66"/>
      <c r="G156" s="66"/>
      <c r="H156" s="66"/>
    </row>
    <row r="157" spans="1:8" x14ac:dyDescent="0.2">
      <c r="B157" s="61" t="s">
        <v>334</v>
      </c>
      <c r="C157" s="55">
        <f t="shared" si="2"/>
        <v>11.245791245791246</v>
      </c>
      <c r="D157" s="55">
        <f t="shared" si="2"/>
        <v>5.0336700336700337</v>
      </c>
      <c r="E157" s="66"/>
      <c r="F157" s="66"/>
      <c r="G157" s="66"/>
      <c r="H157" s="66"/>
    </row>
    <row r="158" spans="1:8" x14ac:dyDescent="0.2">
      <c r="B158" s="61" t="s">
        <v>813</v>
      </c>
      <c r="C158" s="55">
        <f t="shared" si="2"/>
        <v>38.190883190883191</v>
      </c>
      <c r="D158" s="55">
        <f t="shared" si="2"/>
        <v>16.866096866096864</v>
      </c>
      <c r="E158" s="66"/>
      <c r="F158" s="66"/>
      <c r="G158" s="66"/>
      <c r="H158" s="66"/>
    </row>
    <row r="159" spans="1:8" x14ac:dyDescent="0.2">
      <c r="B159" s="61" t="s">
        <v>584</v>
      </c>
      <c r="C159" s="55">
        <f t="shared" si="2"/>
        <v>66.435185185185176</v>
      </c>
      <c r="D159" s="55">
        <f t="shared" si="2"/>
        <v>19.155092592592592</v>
      </c>
      <c r="E159" s="66"/>
      <c r="F159" s="66"/>
      <c r="G159" s="66"/>
      <c r="H159" s="66"/>
    </row>
    <row r="160" spans="1:8" x14ac:dyDescent="0.2">
      <c r="B160" s="63"/>
      <c r="C160" s="64"/>
      <c r="D160" s="64"/>
      <c r="E160" s="66"/>
      <c r="F160" s="66"/>
      <c r="G160" s="66"/>
      <c r="H160" s="66"/>
    </row>
    <row r="161" spans="1:8" x14ac:dyDescent="0.2">
      <c r="B161" s="63"/>
      <c r="C161" s="64"/>
      <c r="D161" s="64"/>
      <c r="E161" s="66"/>
      <c r="F161" s="66"/>
      <c r="G161" s="66"/>
      <c r="H161" s="66"/>
    </row>
    <row r="162" spans="1:8" x14ac:dyDescent="0.2">
      <c r="A162" s="68" t="s">
        <v>51</v>
      </c>
      <c r="B162" s="528" t="s">
        <v>4</v>
      </c>
      <c r="C162" s="529"/>
      <c r="D162" s="530"/>
      <c r="E162" s="66"/>
      <c r="F162" s="66"/>
      <c r="G162" s="66"/>
      <c r="H162" s="66"/>
    </row>
    <row r="163" spans="1:8" x14ac:dyDescent="0.2">
      <c r="B163" s="59" t="s">
        <v>810</v>
      </c>
      <c r="C163" s="60" t="s">
        <v>846</v>
      </c>
      <c r="D163" s="60" t="s">
        <v>847</v>
      </c>
      <c r="E163" s="66"/>
      <c r="F163" s="66"/>
      <c r="G163" s="66"/>
      <c r="H163" s="66"/>
    </row>
    <row r="164" spans="1:8" x14ac:dyDescent="0.2">
      <c r="B164" s="61" t="s">
        <v>333</v>
      </c>
      <c r="C164" s="55">
        <f t="shared" ref="C164:D167" si="3">AVERAGE(C116,C124,C132)</f>
        <v>42.54960317460317</v>
      </c>
      <c r="D164" s="55">
        <f t="shared" si="3"/>
        <v>0</v>
      </c>
      <c r="E164" s="66"/>
      <c r="F164" s="66"/>
      <c r="G164" s="66"/>
      <c r="H164" s="66"/>
    </row>
    <row r="165" spans="1:8" x14ac:dyDescent="0.2">
      <c r="B165" s="61" t="s">
        <v>334</v>
      </c>
      <c r="C165" s="55">
        <f t="shared" si="3"/>
        <v>15.714285714285714</v>
      </c>
      <c r="D165" s="55">
        <f t="shared" si="3"/>
        <v>3.6904761904761902</v>
      </c>
      <c r="E165" s="66"/>
      <c r="F165" s="66"/>
      <c r="G165" s="66"/>
      <c r="H165" s="66"/>
    </row>
    <row r="166" spans="1:8" x14ac:dyDescent="0.2">
      <c r="B166" s="61" t="s">
        <v>813</v>
      </c>
      <c r="C166" s="55">
        <f t="shared" si="3"/>
        <v>42.490842490842489</v>
      </c>
      <c r="D166" s="55">
        <f t="shared" si="3"/>
        <v>19.413919413919412</v>
      </c>
      <c r="E166" s="66"/>
      <c r="F166" s="66"/>
      <c r="G166" s="66"/>
      <c r="H166" s="66"/>
    </row>
    <row r="167" spans="1:8" x14ac:dyDescent="0.2">
      <c r="B167" s="61" t="s">
        <v>584</v>
      </c>
      <c r="C167" s="55">
        <f t="shared" si="3"/>
        <v>67.916666666666671</v>
      </c>
      <c r="D167" s="55">
        <f t="shared" si="3"/>
        <v>20.290404040404042</v>
      </c>
      <c r="E167" s="66"/>
      <c r="F167" s="66"/>
      <c r="G167" s="66"/>
      <c r="H167" s="66"/>
    </row>
    <row r="168" spans="1:8" x14ac:dyDescent="0.2">
      <c r="B168" s="63"/>
      <c r="C168" s="64"/>
      <c r="D168" s="64"/>
      <c r="E168" s="66"/>
      <c r="F168" s="66"/>
      <c r="G168" s="66"/>
      <c r="H168" s="66"/>
    </row>
    <row r="169" spans="1:8" x14ac:dyDescent="0.2">
      <c r="E169" s="66"/>
      <c r="F169" s="66"/>
      <c r="G169" s="66"/>
      <c r="H169" s="66"/>
    </row>
    <row r="170" spans="1:8" x14ac:dyDescent="0.2">
      <c r="A170" s="68" t="s">
        <v>13</v>
      </c>
      <c r="B170" s="528" t="s">
        <v>1</v>
      </c>
      <c r="C170" s="529"/>
      <c r="D170" s="530"/>
      <c r="E170" s="66"/>
      <c r="F170" s="66"/>
      <c r="G170" s="66"/>
      <c r="H170" s="66"/>
    </row>
    <row r="171" spans="1:8" x14ac:dyDescent="0.2">
      <c r="B171" s="59" t="s">
        <v>810</v>
      </c>
      <c r="C171" s="60" t="s">
        <v>846</v>
      </c>
      <c r="D171" s="60" t="s">
        <v>847</v>
      </c>
      <c r="E171" s="66"/>
      <c r="F171" s="66"/>
      <c r="G171" s="66"/>
      <c r="H171" s="66"/>
    </row>
    <row r="172" spans="1:8" x14ac:dyDescent="0.2">
      <c r="B172" s="61" t="s">
        <v>333</v>
      </c>
      <c r="C172" s="17">
        <f t="shared" ref="C172:D175" si="4">STDEV(C12,C20,C28,C36,C44,C52,C60)</f>
        <v>1.434965999679868</v>
      </c>
      <c r="D172" s="17">
        <f t="shared" si="4"/>
        <v>0.35771486929348689</v>
      </c>
      <c r="E172" s="66"/>
      <c r="F172" s="66"/>
      <c r="G172" s="66"/>
      <c r="H172" s="66"/>
    </row>
    <row r="173" spans="1:8" x14ac:dyDescent="0.2">
      <c r="B173" s="61" t="s">
        <v>334</v>
      </c>
      <c r="C173" s="17">
        <f t="shared" si="4"/>
        <v>1.5187000586852717</v>
      </c>
      <c r="D173" s="17">
        <f t="shared" si="4"/>
        <v>3.3472615632502722</v>
      </c>
      <c r="E173" s="66"/>
      <c r="F173" s="66"/>
      <c r="G173" s="66"/>
      <c r="H173" s="66"/>
    </row>
    <row r="174" spans="1:8" x14ac:dyDescent="0.2">
      <c r="B174" s="61" t="s">
        <v>813</v>
      </c>
      <c r="C174" s="55">
        <f t="shared" si="4"/>
        <v>22.493385271060948</v>
      </c>
      <c r="D174" s="55">
        <f t="shared" si="4"/>
        <v>4.8112522432468809</v>
      </c>
      <c r="E174" s="66"/>
      <c r="F174" s="66"/>
      <c r="G174" s="66"/>
      <c r="H174" s="66"/>
    </row>
    <row r="175" spans="1:8" x14ac:dyDescent="0.2">
      <c r="B175" s="61" t="s">
        <v>584</v>
      </c>
      <c r="C175" s="17">
        <f t="shared" si="4"/>
        <v>0</v>
      </c>
      <c r="D175" s="17">
        <f t="shared" si="4"/>
        <v>0</v>
      </c>
      <c r="E175" s="66"/>
      <c r="F175" s="66"/>
      <c r="G175" s="66"/>
      <c r="H175" s="66"/>
    </row>
    <row r="176" spans="1:8" x14ac:dyDescent="0.2">
      <c r="E176" s="66"/>
      <c r="F176" s="66"/>
      <c r="G176" s="66"/>
      <c r="H176" s="66"/>
    </row>
    <row r="177" spans="1:8" x14ac:dyDescent="0.2">
      <c r="A177" s="68" t="s">
        <v>13</v>
      </c>
      <c r="B177" s="528" t="s">
        <v>2</v>
      </c>
      <c r="C177" s="529"/>
      <c r="D177" s="530"/>
      <c r="E177" s="66"/>
      <c r="F177" s="66"/>
      <c r="G177" s="66"/>
      <c r="H177" s="66"/>
    </row>
    <row r="178" spans="1:8" x14ac:dyDescent="0.2">
      <c r="B178" s="59" t="s">
        <v>810</v>
      </c>
      <c r="C178" s="60" t="s">
        <v>846</v>
      </c>
      <c r="D178" s="60" t="s">
        <v>847</v>
      </c>
      <c r="E178" s="66"/>
      <c r="F178" s="66"/>
      <c r="G178" s="66"/>
      <c r="H178" s="66"/>
    </row>
    <row r="179" spans="1:8" x14ac:dyDescent="0.2">
      <c r="B179" s="61" t="s">
        <v>333</v>
      </c>
      <c r="C179" s="17">
        <f>STDEV(C68,C76,C84)</f>
        <v>1.9095193685252352</v>
      </c>
      <c r="D179" s="17">
        <f t="shared" ref="C179:D182" si="5">STDEV(D68,D76,D84)</f>
        <v>6.600410615029749</v>
      </c>
      <c r="E179" s="66"/>
      <c r="F179" s="66"/>
      <c r="G179" s="66"/>
      <c r="H179" s="66"/>
    </row>
    <row r="180" spans="1:8" x14ac:dyDescent="0.2">
      <c r="B180" s="61" t="s">
        <v>334</v>
      </c>
      <c r="C180" s="17">
        <f t="shared" si="5"/>
        <v>4.0547605200121675</v>
      </c>
      <c r="D180" s="17">
        <f t="shared" si="5"/>
        <v>0.35005480363131525</v>
      </c>
      <c r="E180" s="66"/>
      <c r="F180" s="66"/>
      <c r="G180" s="66"/>
      <c r="H180" s="66"/>
    </row>
    <row r="181" spans="1:8" x14ac:dyDescent="0.2">
      <c r="B181" s="61" t="s">
        <v>813</v>
      </c>
      <c r="C181" s="55">
        <f t="shared" si="5"/>
        <v>11.111111111111132</v>
      </c>
      <c r="D181" s="55">
        <f t="shared" si="5"/>
        <v>3.3945005147821035</v>
      </c>
      <c r="E181" s="66"/>
      <c r="F181" s="66"/>
      <c r="G181" s="66"/>
      <c r="H181" s="66"/>
    </row>
    <row r="182" spans="1:8" x14ac:dyDescent="0.2">
      <c r="B182" s="61" t="s">
        <v>584</v>
      </c>
      <c r="C182" s="17">
        <f t="shared" si="5"/>
        <v>8.2639861494432161</v>
      </c>
      <c r="D182" s="17">
        <f t="shared" si="5"/>
        <v>3.6921659118152288</v>
      </c>
      <c r="E182" s="66"/>
      <c r="F182" s="66"/>
      <c r="G182" s="66"/>
      <c r="H182" s="66"/>
    </row>
    <row r="183" spans="1:8" x14ac:dyDescent="0.2">
      <c r="B183" s="63"/>
      <c r="C183" s="68"/>
      <c r="D183" s="68"/>
      <c r="E183" s="66"/>
      <c r="F183" s="66"/>
      <c r="G183" s="66"/>
      <c r="H183" s="66"/>
    </row>
    <row r="184" spans="1:8" x14ac:dyDescent="0.2">
      <c r="B184" s="63"/>
      <c r="C184" s="68"/>
      <c r="D184" s="68"/>
      <c r="E184" s="66"/>
      <c r="F184" s="66"/>
      <c r="G184" s="66"/>
      <c r="H184" s="66"/>
    </row>
    <row r="185" spans="1:8" x14ac:dyDescent="0.2">
      <c r="A185" s="68" t="s">
        <v>13</v>
      </c>
      <c r="B185" s="528" t="s">
        <v>3</v>
      </c>
      <c r="C185" s="529"/>
      <c r="D185" s="530"/>
      <c r="E185" s="66"/>
      <c r="F185" s="66"/>
      <c r="G185" s="66"/>
      <c r="H185" s="66"/>
    </row>
    <row r="186" spans="1:8" x14ac:dyDescent="0.2">
      <c r="B186" s="59" t="s">
        <v>810</v>
      </c>
      <c r="C186" s="60" t="s">
        <v>846</v>
      </c>
      <c r="D186" s="60" t="s">
        <v>847</v>
      </c>
      <c r="E186" s="66"/>
      <c r="F186" s="66"/>
      <c r="G186" s="66"/>
      <c r="H186" s="66"/>
    </row>
    <row r="187" spans="1:8" x14ac:dyDescent="0.2">
      <c r="B187" s="61" t="s">
        <v>333</v>
      </c>
      <c r="C187" s="17">
        <f t="shared" ref="C187:D190" si="6">STDEV(C92,C100,C108)</f>
        <v>3.9051277976131833</v>
      </c>
      <c r="D187" s="17">
        <f t="shared" si="6"/>
        <v>3.9051277976131833</v>
      </c>
      <c r="E187" s="66"/>
      <c r="F187" s="66"/>
      <c r="G187" s="66"/>
      <c r="H187" s="66"/>
    </row>
    <row r="188" spans="1:8" x14ac:dyDescent="0.2">
      <c r="B188" s="61" t="s">
        <v>334</v>
      </c>
      <c r="C188" s="17">
        <f t="shared" si="6"/>
        <v>6.4046564191927349</v>
      </c>
      <c r="D188" s="17">
        <f t="shared" si="6"/>
        <v>0.50589155559988919</v>
      </c>
      <c r="E188" s="66"/>
      <c r="F188" s="66"/>
      <c r="G188" s="66"/>
      <c r="H188" s="66"/>
    </row>
    <row r="189" spans="1:8" x14ac:dyDescent="0.2">
      <c r="B189" s="61" t="s">
        <v>813</v>
      </c>
      <c r="C189" s="17">
        <f t="shared" si="6"/>
        <v>9.1696629427928222</v>
      </c>
      <c r="D189" s="17">
        <f t="shared" si="6"/>
        <v>4.8359253316737938</v>
      </c>
      <c r="E189" s="66"/>
      <c r="F189" s="66"/>
      <c r="G189" s="66"/>
      <c r="H189" s="66"/>
    </row>
    <row r="190" spans="1:8" x14ac:dyDescent="0.2">
      <c r="B190" s="61" t="s">
        <v>584</v>
      </c>
      <c r="C190" s="17">
        <f t="shared" si="6"/>
        <v>4.8930416259092526</v>
      </c>
      <c r="D190" s="17">
        <f t="shared" si="6"/>
        <v>4.0949165672070533</v>
      </c>
      <c r="E190" s="66"/>
      <c r="F190" s="66"/>
      <c r="G190" s="66"/>
      <c r="H190" s="66"/>
    </row>
    <row r="191" spans="1:8" x14ac:dyDescent="0.2">
      <c r="B191" s="63"/>
      <c r="C191" s="68"/>
      <c r="D191" s="68"/>
      <c r="E191" s="66"/>
      <c r="F191" s="66"/>
      <c r="G191" s="66"/>
      <c r="H191" s="66"/>
    </row>
    <row r="192" spans="1:8" x14ac:dyDescent="0.2">
      <c r="B192" s="63"/>
      <c r="C192" s="68"/>
      <c r="D192" s="68"/>
      <c r="E192" s="66"/>
      <c r="F192" s="66"/>
      <c r="G192" s="66"/>
      <c r="H192" s="66"/>
    </row>
    <row r="193" spans="1:8" x14ac:dyDescent="0.2">
      <c r="A193" s="68" t="s">
        <v>13</v>
      </c>
      <c r="B193" s="528" t="s">
        <v>4</v>
      </c>
      <c r="C193" s="529"/>
      <c r="D193" s="530"/>
      <c r="E193" s="66"/>
      <c r="F193" s="66"/>
      <c r="G193" s="66"/>
      <c r="H193" s="66"/>
    </row>
    <row r="194" spans="1:8" x14ac:dyDescent="0.2">
      <c r="B194" s="59" t="s">
        <v>810</v>
      </c>
      <c r="C194" s="60" t="s">
        <v>846</v>
      </c>
      <c r="D194" s="60" t="s">
        <v>847</v>
      </c>
      <c r="E194" s="66"/>
      <c r="F194" s="66"/>
      <c r="G194" s="66"/>
      <c r="H194" s="66"/>
    </row>
    <row r="195" spans="1:8" x14ac:dyDescent="0.2">
      <c r="B195" s="61" t="s">
        <v>333</v>
      </c>
      <c r="C195" s="17">
        <f t="shared" ref="C195:D198" si="7">STDEV(C116,C124,C132)</f>
        <v>14.273318448070503</v>
      </c>
      <c r="D195" s="17">
        <f t="shared" si="7"/>
        <v>0</v>
      </c>
      <c r="E195" s="66"/>
      <c r="F195" s="66"/>
      <c r="G195" s="66"/>
      <c r="H195" s="66"/>
    </row>
    <row r="196" spans="1:8" x14ac:dyDescent="0.2">
      <c r="B196" s="61" t="s">
        <v>334</v>
      </c>
      <c r="C196" s="17">
        <f t="shared" si="7"/>
        <v>8.1371464241119345</v>
      </c>
      <c r="D196" s="17">
        <f t="shared" si="7"/>
        <v>0.4292322946980936</v>
      </c>
      <c r="E196" s="66"/>
      <c r="F196" s="66"/>
      <c r="G196" s="66"/>
      <c r="H196" s="66"/>
    </row>
    <row r="197" spans="1:8" x14ac:dyDescent="0.2">
      <c r="B197" s="61" t="s">
        <v>813</v>
      </c>
      <c r="C197" s="17">
        <f t="shared" si="7"/>
        <v>14.106131512065714</v>
      </c>
      <c r="D197" s="17">
        <f t="shared" si="7"/>
        <v>9.3890151047445336</v>
      </c>
      <c r="E197" s="66"/>
      <c r="F197" s="66"/>
      <c r="G197" s="66"/>
      <c r="H197" s="66"/>
    </row>
    <row r="198" spans="1:8" x14ac:dyDescent="0.2">
      <c r="B198" s="61" t="s">
        <v>584</v>
      </c>
      <c r="C198" s="55">
        <f t="shared" si="7"/>
        <v>7.5346422166771347</v>
      </c>
      <c r="D198" s="55">
        <f t="shared" si="7"/>
        <v>2.7120612543453939</v>
      </c>
      <c r="E198" s="66"/>
      <c r="F198" s="66"/>
      <c r="G198" s="66"/>
      <c r="H198" s="66"/>
    </row>
    <row r="199" spans="1:8" x14ac:dyDescent="0.2">
      <c r="B199" s="63"/>
      <c r="C199" s="68"/>
      <c r="D199" s="68"/>
      <c r="E199" s="66"/>
      <c r="F199" s="66"/>
      <c r="G199" s="66"/>
      <c r="H199" s="66"/>
    </row>
    <row r="200" spans="1:8" x14ac:dyDescent="0.2">
      <c r="E200" s="66"/>
      <c r="F200" s="66"/>
      <c r="G200" s="66"/>
      <c r="H200" s="66"/>
    </row>
    <row r="201" spans="1:8" x14ac:dyDescent="0.2">
      <c r="A201" s="68" t="s">
        <v>14</v>
      </c>
      <c r="B201" s="528" t="s">
        <v>203</v>
      </c>
      <c r="C201" s="529"/>
      <c r="D201" s="530"/>
      <c r="E201" s="66"/>
      <c r="F201" s="66"/>
      <c r="G201" s="66"/>
      <c r="H201" s="66"/>
    </row>
    <row r="202" spans="1:8" x14ac:dyDescent="0.2">
      <c r="B202" s="59" t="s">
        <v>810</v>
      </c>
      <c r="C202" s="60" t="s">
        <v>846</v>
      </c>
      <c r="D202" s="60" t="s">
        <v>847</v>
      </c>
      <c r="E202" s="66"/>
      <c r="F202" s="66"/>
      <c r="G202" s="66"/>
      <c r="H202" s="66"/>
    </row>
    <row r="203" spans="1:8" x14ac:dyDescent="0.2">
      <c r="B203" s="61" t="s">
        <v>333</v>
      </c>
      <c r="C203" s="70">
        <f t="shared" ref="C203:D206" si="8">C172/(7^0.5)</f>
        <v>0.54236616785516023</v>
      </c>
      <c r="D203" s="70">
        <f t="shared" si="8"/>
        <v>0.13520351206007736</v>
      </c>
      <c r="E203" s="66"/>
      <c r="F203" s="66"/>
      <c r="G203" s="66"/>
      <c r="H203" s="66"/>
    </row>
    <row r="204" spans="1:8" x14ac:dyDescent="0.2">
      <c r="B204" s="61" t="s">
        <v>334</v>
      </c>
      <c r="C204" s="70">
        <f t="shared" si="8"/>
        <v>0.57401466734006112</v>
      </c>
      <c r="D204" s="70">
        <f t="shared" si="8"/>
        <v>1.2651459527779312</v>
      </c>
      <c r="E204" s="66"/>
      <c r="F204" s="66"/>
      <c r="G204" s="66"/>
      <c r="H204" s="66"/>
    </row>
    <row r="205" spans="1:8" x14ac:dyDescent="0.2">
      <c r="B205" s="61" t="s">
        <v>813</v>
      </c>
      <c r="C205" s="70">
        <f>C174/(7^0.5)</f>
        <v>8.501700510170064</v>
      </c>
      <c r="D205" s="70">
        <f t="shared" si="8"/>
        <v>1.8184824186332695</v>
      </c>
      <c r="E205" s="66"/>
      <c r="F205" s="66"/>
      <c r="G205" s="66"/>
      <c r="H205" s="66"/>
    </row>
    <row r="206" spans="1:8" x14ac:dyDescent="0.2">
      <c r="B206" s="61" t="s">
        <v>584</v>
      </c>
      <c r="C206" s="70">
        <f t="shared" si="8"/>
        <v>0</v>
      </c>
      <c r="D206" s="70">
        <f t="shared" si="8"/>
        <v>0</v>
      </c>
      <c r="E206" s="66"/>
      <c r="F206" s="66"/>
      <c r="G206" s="66"/>
      <c r="H206" s="66"/>
    </row>
    <row r="207" spans="1:8" x14ac:dyDescent="0.2">
      <c r="B207" s="63"/>
      <c r="C207" s="79"/>
      <c r="D207" s="79"/>
      <c r="E207" s="66"/>
      <c r="F207" s="66"/>
      <c r="G207" s="66"/>
      <c r="H207" s="66"/>
    </row>
    <row r="208" spans="1:8" x14ac:dyDescent="0.2">
      <c r="B208" s="63"/>
      <c r="C208" s="79"/>
      <c r="D208" s="79"/>
      <c r="E208" s="66"/>
      <c r="F208" s="66"/>
      <c r="G208" s="66"/>
      <c r="H208" s="66"/>
    </row>
    <row r="209" spans="1:8" x14ac:dyDescent="0.2">
      <c r="A209" s="68" t="s">
        <v>14</v>
      </c>
      <c r="B209" s="528" t="s">
        <v>2</v>
      </c>
      <c r="C209" s="529"/>
      <c r="D209" s="530"/>
      <c r="E209" s="66"/>
      <c r="F209" s="66"/>
      <c r="G209" s="66"/>
      <c r="H209" s="66"/>
    </row>
    <row r="210" spans="1:8" x14ac:dyDescent="0.2">
      <c r="B210" s="59" t="s">
        <v>810</v>
      </c>
      <c r="C210" s="60" t="s">
        <v>846</v>
      </c>
      <c r="D210" s="60" t="s">
        <v>847</v>
      </c>
      <c r="E210" s="66"/>
      <c r="F210" s="66"/>
      <c r="G210" s="66"/>
      <c r="H210" s="66"/>
    </row>
    <row r="211" spans="1:8" x14ac:dyDescent="0.2">
      <c r="B211" s="61" t="s">
        <v>333</v>
      </c>
      <c r="C211" s="70">
        <f t="shared" ref="C211:D214" si="9">C179/(3^0.5)</f>
        <v>1.1024615214408489</v>
      </c>
      <c r="D211" s="70">
        <f t="shared" si="9"/>
        <v>3.8107488453494893</v>
      </c>
      <c r="E211" s="66"/>
      <c r="F211" s="66"/>
      <c r="G211" s="66"/>
      <c r="H211" s="66"/>
    </row>
    <row r="212" spans="1:8" x14ac:dyDescent="0.2">
      <c r="B212" s="61" t="s">
        <v>334</v>
      </c>
      <c r="C212" s="70">
        <f t="shared" si="9"/>
        <v>2.341017077728492</v>
      </c>
      <c r="D212" s="70">
        <f t="shared" si="9"/>
        <v>0.20210423510766146</v>
      </c>
      <c r="E212" s="66"/>
      <c r="F212" s="66"/>
      <c r="G212" s="66"/>
      <c r="H212" s="66"/>
    </row>
    <row r="213" spans="1:8" x14ac:dyDescent="0.2">
      <c r="B213" s="61" t="s">
        <v>813</v>
      </c>
      <c r="C213" s="70">
        <f t="shared" si="9"/>
        <v>6.4150029909958546</v>
      </c>
      <c r="D213" s="70">
        <f t="shared" si="9"/>
        <v>1.9598157859737708</v>
      </c>
      <c r="E213" s="66"/>
      <c r="F213" s="98"/>
      <c r="G213" s="66"/>
      <c r="H213" s="66"/>
    </row>
    <row r="214" spans="1:8" x14ac:dyDescent="0.2">
      <c r="B214" s="61" t="s">
        <v>584</v>
      </c>
      <c r="C214" s="70">
        <f t="shared" si="9"/>
        <v>4.7712146279603802</v>
      </c>
      <c r="D214" s="70">
        <f t="shared" si="9"/>
        <v>2.1316729830792824</v>
      </c>
      <c r="E214" s="66"/>
      <c r="F214" s="66"/>
      <c r="G214" s="66"/>
      <c r="H214" s="66"/>
    </row>
    <row r="215" spans="1:8" x14ac:dyDescent="0.2">
      <c r="B215" s="63"/>
      <c r="C215" s="79"/>
      <c r="D215" s="79"/>
      <c r="E215" s="66"/>
      <c r="F215" s="66"/>
      <c r="G215" s="66"/>
      <c r="H215" s="66"/>
    </row>
    <row r="216" spans="1:8" x14ac:dyDescent="0.2">
      <c r="B216" s="63"/>
      <c r="C216" s="79"/>
      <c r="D216" s="79"/>
      <c r="E216" s="66"/>
      <c r="F216" s="66"/>
      <c r="G216" s="66"/>
      <c r="H216" s="66"/>
    </row>
    <row r="217" spans="1:8" x14ac:dyDescent="0.2">
      <c r="A217" s="68" t="s">
        <v>14</v>
      </c>
      <c r="B217" s="528" t="s">
        <v>3</v>
      </c>
      <c r="C217" s="529"/>
      <c r="D217" s="530"/>
      <c r="E217" s="66"/>
      <c r="F217" s="66"/>
      <c r="G217" s="66"/>
      <c r="H217" s="66"/>
    </row>
    <row r="218" spans="1:8" x14ac:dyDescent="0.2">
      <c r="B218" s="59" t="s">
        <v>810</v>
      </c>
      <c r="C218" s="60" t="s">
        <v>846</v>
      </c>
      <c r="D218" s="60" t="s">
        <v>847</v>
      </c>
      <c r="E218" s="66"/>
      <c r="F218" s="66"/>
      <c r="G218" s="66"/>
      <c r="H218" s="66"/>
    </row>
    <row r="219" spans="1:8" x14ac:dyDescent="0.2">
      <c r="B219" s="61" t="s">
        <v>333</v>
      </c>
      <c r="C219" s="70">
        <f>C187/SQRT(3)</f>
        <v>2.2546265851718621</v>
      </c>
      <c r="D219" s="70">
        <f>D187/(3^0.5)</f>
        <v>2.2546265851718621</v>
      </c>
      <c r="E219" s="66"/>
      <c r="F219" s="66"/>
      <c r="G219" s="66"/>
      <c r="H219" s="66"/>
    </row>
    <row r="220" spans="1:8" x14ac:dyDescent="0.2">
      <c r="B220" s="61" t="s">
        <v>334</v>
      </c>
      <c r="C220" s="70">
        <f>C188/(3^0.5)</f>
        <v>3.6977301076879905</v>
      </c>
      <c r="D220" s="70">
        <f>D188/(3^0.5)</f>
        <v>0.29207662580635457</v>
      </c>
      <c r="E220" s="66"/>
      <c r="F220" s="66"/>
      <c r="G220" s="66"/>
      <c r="H220" s="66"/>
    </row>
    <row r="221" spans="1:8" x14ac:dyDescent="0.2">
      <c r="B221" s="61" t="s">
        <v>813</v>
      </c>
      <c r="C221" s="70">
        <f>C189/(3^0.5)</f>
        <v>5.2941073683995725</v>
      </c>
      <c r="D221" s="70">
        <f>D189/(3^0.5)</f>
        <v>2.7920227920227951</v>
      </c>
      <c r="E221" s="66"/>
      <c r="F221" s="66"/>
      <c r="G221" s="66"/>
      <c r="H221" s="66"/>
    </row>
    <row r="222" spans="1:8" x14ac:dyDescent="0.2">
      <c r="B222" s="61" t="s">
        <v>584</v>
      </c>
      <c r="C222" s="70">
        <f>C190/(3^0.5)</f>
        <v>2.8249988998747515</v>
      </c>
      <c r="D222" s="70">
        <f>D190/(3^0.5)</f>
        <v>2.3642011823860507</v>
      </c>
      <c r="E222" s="66"/>
      <c r="F222" s="66"/>
      <c r="G222" s="66"/>
      <c r="H222" s="66"/>
    </row>
    <row r="223" spans="1:8" x14ac:dyDescent="0.2">
      <c r="B223" s="63"/>
      <c r="C223" s="79"/>
      <c r="D223" s="79"/>
      <c r="E223" s="66"/>
      <c r="F223" s="66"/>
      <c r="G223" s="66"/>
      <c r="H223" s="66"/>
    </row>
    <row r="224" spans="1:8" x14ac:dyDescent="0.2">
      <c r="B224" s="63"/>
      <c r="C224" s="79"/>
      <c r="D224" s="79"/>
      <c r="E224" s="66"/>
      <c r="F224" s="66"/>
      <c r="G224" s="66"/>
      <c r="H224" s="66"/>
    </row>
    <row r="225" spans="1:14" x14ac:dyDescent="0.2">
      <c r="A225" s="68" t="s">
        <v>14</v>
      </c>
      <c r="B225" s="528" t="s">
        <v>4</v>
      </c>
      <c r="C225" s="529"/>
      <c r="D225" s="530"/>
      <c r="E225" s="66"/>
      <c r="F225" s="66"/>
      <c r="G225" s="66"/>
      <c r="H225" s="66"/>
    </row>
    <row r="226" spans="1:14" x14ac:dyDescent="0.2">
      <c r="B226" s="59" t="s">
        <v>810</v>
      </c>
      <c r="C226" s="60" t="s">
        <v>846</v>
      </c>
      <c r="D226" s="60" t="s">
        <v>847</v>
      </c>
      <c r="E226" s="66"/>
      <c r="F226" s="66"/>
      <c r="G226" s="66"/>
      <c r="H226" s="66"/>
    </row>
    <row r="227" spans="1:14" x14ac:dyDescent="0.2">
      <c r="B227" s="61" t="s">
        <v>333</v>
      </c>
      <c r="C227" s="70">
        <f t="shared" ref="C227:D230" si="10">C195/(3^0.5)</f>
        <v>8.240704248222757</v>
      </c>
      <c r="D227" s="70">
        <f t="shared" si="10"/>
        <v>0</v>
      </c>
      <c r="E227" s="66"/>
      <c r="F227" s="66"/>
      <c r="G227" s="66"/>
      <c r="H227" s="66"/>
    </row>
    <row r="228" spans="1:14" x14ac:dyDescent="0.2">
      <c r="B228" s="61" t="s">
        <v>334</v>
      </c>
      <c r="C228" s="70">
        <f t="shared" si="10"/>
        <v>4.6979836783964259</v>
      </c>
      <c r="D228" s="70">
        <f t="shared" si="10"/>
        <v>0.24781738088882513</v>
      </c>
      <c r="E228" s="66"/>
      <c r="F228" s="66"/>
      <c r="G228" s="66"/>
      <c r="H228" s="66"/>
    </row>
    <row r="229" spans="1:14" x14ac:dyDescent="0.2">
      <c r="B229" s="61" t="s">
        <v>813</v>
      </c>
      <c r="C229" s="70">
        <f t="shared" si="10"/>
        <v>8.1441788257154037</v>
      </c>
      <c r="D229" s="70">
        <f t="shared" si="10"/>
        <v>5.4207503981497194</v>
      </c>
      <c r="E229" s="66"/>
      <c r="F229" s="66"/>
      <c r="G229" s="66"/>
      <c r="H229" s="66"/>
    </row>
    <row r="230" spans="1:14" x14ac:dyDescent="0.2">
      <c r="B230" s="61" t="s">
        <v>584</v>
      </c>
      <c r="C230" s="70">
        <f t="shared" si="10"/>
        <v>4.3501277120460626</v>
      </c>
      <c r="D230" s="70">
        <f t="shared" si="10"/>
        <v>1.5658092952550673</v>
      </c>
      <c r="E230" s="66"/>
      <c r="F230" s="66"/>
      <c r="G230" s="66"/>
      <c r="H230" s="66"/>
    </row>
    <row r="231" spans="1:14" x14ac:dyDescent="0.2">
      <c r="E231" s="66"/>
      <c r="F231" s="98"/>
      <c r="G231" s="66"/>
      <c r="H231" s="66"/>
    </row>
    <row r="232" spans="1:14" x14ac:dyDescent="0.2">
      <c r="E232" s="66"/>
      <c r="F232" s="66"/>
      <c r="G232" s="66"/>
      <c r="H232" s="66"/>
    </row>
    <row r="234" spans="1:14" ht="18" x14ac:dyDescent="0.2">
      <c r="B234" s="19" t="s">
        <v>52</v>
      </c>
      <c r="C234" s="20"/>
      <c r="D234" s="20"/>
      <c r="E234" s="20"/>
      <c r="K234" s="452" t="s">
        <v>52</v>
      </c>
      <c r="L234" s="181"/>
      <c r="M234" s="181"/>
    </row>
    <row r="236" spans="1:14" x14ac:dyDescent="0.2">
      <c r="A236" s="243" t="s">
        <v>848</v>
      </c>
      <c r="B236" s="15" t="s">
        <v>53</v>
      </c>
      <c r="J236" s="243" t="s">
        <v>852</v>
      </c>
      <c r="K236" s="15" t="s">
        <v>53</v>
      </c>
    </row>
    <row r="237" spans="1:14" x14ac:dyDescent="0.2">
      <c r="B237" s="2" t="s">
        <v>0</v>
      </c>
      <c r="E237" s="46">
        <v>3.0979999999999999</v>
      </c>
      <c r="K237" s="2" t="s">
        <v>0</v>
      </c>
      <c r="N237" s="46">
        <v>32.450000000000003</v>
      </c>
    </row>
    <row r="238" spans="1:14" x14ac:dyDescent="0.2">
      <c r="B238" s="2" t="s">
        <v>36</v>
      </c>
      <c r="E238" s="46">
        <v>6.7400000000000002E-2</v>
      </c>
      <c r="K238" s="2" t="s">
        <v>36</v>
      </c>
      <c r="N238" s="46" t="s">
        <v>176</v>
      </c>
    </row>
    <row r="239" spans="1:14" x14ac:dyDescent="0.2">
      <c r="B239" s="2" t="s">
        <v>37</v>
      </c>
      <c r="E239" s="46" t="s">
        <v>9</v>
      </c>
      <c r="K239" s="2" t="s">
        <v>37</v>
      </c>
      <c r="N239" s="46" t="s">
        <v>10</v>
      </c>
    </row>
    <row r="240" spans="1:14" x14ac:dyDescent="0.2">
      <c r="B240" s="2" t="s">
        <v>54</v>
      </c>
      <c r="E240" s="46" t="s">
        <v>49</v>
      </c>
      <c r="K240" s="2" t="s">
        <v>54</v>
      </c>
      <c r="N240" s="46" t="s">
        <v>41</v>
      </c>
    </row>
    <row r="241" spans="1:16" x14ac:dyDescent="0.2">
      <c r="B241" s="2" t="s">
        <v>55</v>
      </c>
      <c r="E241" s="46">
        <v>0.4365</v>
      </c>
      <c r="K241" s="2" t="s">
        <v>55</v>
      </c>
      <c r="N241" s="46">
        <v>0.89029999999999998</v>
      </c>
    </row>
    <row r="243" spans="1:16" x14ac:dyDescent="0.2">
      <c r="B243" s="3" t="s">
        <v>44</v>
      </c>
      <c r="C243" s="47"/>
      <c r="D243" s="47"/>
      <c r="E243" s="47"/>
      <c r="F243" s="47"/>
      <c r="G243" s="47"/>
      <c r="K243" s="3" t="s">
        <v>44</v>
      </c>
      <c r="L243" s="47"/>
      <c r="M243" s="47"/>
      <c r="N243" s="47"/>
      <c r="O243" s="47"/>
      <c r="P243" s="47"/>
    </row>
    <row r="244" spans="1:16" x14ac:dyDescent="0.2">
      <c r="B244" s="47"/>
      <c r="C244" s="16" t="s">
        <v>45</v>
      </c>
      <c r="D244" s="16" t="s">
        <v>46</v>
      </c>
      <c r="E244" s="16" t="s">
        <v>47</v>
      </c>
      <c r="F244" s="16" t="s">
        <v>48</v>
      </c>
      <c r="G244" s="16" t="s">
        <v>5</v>
      </c>
      <c r="K244" s="47"/>
      <c r="L244" s="16" t="s">
        <v>45</v>
      </c>
      <c r="M244" s="16" t="s">
        <v>46</v>
      </c>
      <c r="N244" s="16" t="s">
        <v>47</v>
      </c>
      <c r="O244" s="16" t="s">
        <v>48</v>
      </c>
      <c r="P244" s="16" t="s">
        <v>5</v>
      </c>
    </row>
    <row r="245" spans="1:16" x14ac:dyDescent="0.2">
      <c r="B245" s="2" t="s">
        <v>6</v>
      </c>
      <c r="C245" s="1">
        <v>-3.4060000000000001</v>
      </c>
      <c r="D245" s="1" t="s">
        <v>854</v>
      </c>
      <c r="E245" s="1" t="s">
        <v>49</v>
      </c>
      <c r="F245" s="1" t="s">
        <v>9</v>
      </c>
      <c r="G245" s="1">
        <v>0.33710000000000001</v>
      </c>
      <c r="K245" s="2" t="s">
        <v>6</v>
      </c>
      <c r="L245" s="1">
        <v>-9.7110000000000003</v>
      </c>
      <c r="M245" s="1" t="s">
        <v>866</v>
      </c>
      <c r="N245" s="1" t="s">
        <v>49</v>
      </c>
      <c r="O245" s="1" t="s">
        <v>9</v>
      </c>
      <c r="P245" s="1">
        <v>0.1096</v>
      </c>
    </row>
    <row r="246" spans="1:16" x14ac:dyDescent="0.2">
      <c r="B246" s="2" t="s">
        <v>7</v>
      </c>
      <c r="C246" s="1">
        <v>-4.1639999999999997</v>
      </c>
      <c r="D246" s="1" t="s">
        <v>855</v>
      </c>
      <c r="E246" s="1" t="s">
        <v>49</v>
      </c>
      <c r="F246" s="1" t="s">
        <v>9</v>
      </c>
      <c r="G246" s="1">
        <v>0.19850000000000001</v>
      </c>
      <c r="K246" s="2" t="s">
        <v>7</v>
      </c>
      <c r="L246" s="1">
        <v>-5.548</v>
      </c>
      <c r="M246" s="1" t="s">
        <v>867</v>
      </c>
      <c r="N246" s="1" t="s">
        <v>49</v>
      </c>
      <c r="O246" s="1" t="s">
        <v>9</v>
      </c>
      <c r="P246" s="1">
        <v>0.48230000000000001</v>
      </c>
    </row>
    <row r="247" spans="1:16" x14ac:dyDescent="0.2">
      <c r="B247" s="2" t="s">
        <v>8</v>
      </c>
      <c r="C247" s="1">
        <v>2.5289999999999999</v>
      </c>
      <c r="D247" s="1" t="s">
        <v>856</v>
      </c>
      <c r="E247" s="1" t="s">
        <v>49</v>
      </c>
      <c r="F247" s="1" t="s">
        <v>9</v>
      </c>
      <c r="G247" s="1">
        <v>0.56520000000000004</v>
      </c>
      <c r="K247" s="2" t="s">
        <v>8</v>
      </c>
      <c r="L247" s="1">
        <v>-41.41</v>
      </c>
      <c r="M247" s="1" t="s">
        <v>868</v>
      </c>
      <c r="N247" s="1" t="s">
        <v>41</v>
      </c>
      <c r="O247" s="1" t="s">
        <v>10</v>
      </c>
      <c r="P247" s="46" t="s">
        <v>176</v>
      </c>
    </row>
    <row r="250" spans="1:16" x14ac:dyDescent="0.2">
      <c r="A250" s="243" t="s">
        <v>849</v>
      </c>
      <c r="B250" s="15" t="s">
        <v>53</v>
      </c>
      <c r="J250" s="243" t="s">
        <v>869</v>
      </c>
      <c r="K250" s="15" t="s">
        <v>53</v>
      </c>
    </row>
    <row r="251" spans="1:16" x14ac:dyDescent="0.2">
      <c r="B251" s="2" t="s">
        <v>0</v>
      </c>
      <c r="E251" s="1">
        <v>1.7150000000000001</v>
      </c>
      <c r="K251" s="2" t="s">
        <v>0</v>
      </c>
      <c r="N251" s="46">
        <v>2.7509999999999999</v>
      </c>
    </row>
    <row r="252" spans="1:16" x14ac:dyDescent="0.2">
      <c r="B252" s="2" t="s">
        <v>36</v>
      </c>
      <c r="E252" s="1">
        <v>0.21679999999999999</v>
      </c>
      <c r="K252" s="2" t="s">
        <v>36</v>
      </c>
      <c r="N252" s="46">
        <v>8.8800000000000004E-2</v>
      </c>
    </row>
    <row r="253" spans="1:16" x14ac:dyDescent="0.2">
      <c r="B253" s="2" t="s">
        <v>37</v>
      </c>
      <c r="E253" s="46" t="s">
        <v>9</v>
      </c>
      <c r="K253" s="2" t="s">
        <v>37</v>
      </c>
      <c r="N253" s="46" t="s">
        <v>9</v>
      </c>
    </row>
    <row r="254" spans="1:16" x14ac:dyDescent="0.2">
      <c r="B254" s="2" t="s">
        <v>54</v>
      </c>
      <c r="E254" s="46" t="s">
        <v>49</v>
      </c>
      <c r="K254" s="2" t="s">
        <v>54</v>
      </c>
      <c r="N254" s="46" t="s">
        <v>49</v>
      </c>
    </row>
    <row r="255" spans="1:16" x14ac:dyDescent="0.2">
      <c r="B255" s="2" t="s">
        <v>55</v>
      </c>
      <c r="E255" s="1">
        <v>0.30009999999999998</v>
      </c>
      <c r="K255" s="2" t="s">
        <v>55</v>
      </c>
      <c r="N255" s="46">
        <v>0.40749999999999997</v>
      </c>
    </row>
    <row r="257" spans="1:16" x14ac:dyDescent="0.2">
      <c r="B257" s="3" t="s">
        <v>44</v>
      </c>
      <c r="C257" s="47"/>
      <c r="D257" s="47"/>
      <c r="E257" s="47"/>
      <c r="F257" s="47"/>
      <c r="G257" s="47"/>
      <c r="K257" s="3" t="s">
        <v>44</v>
      </c>
      <c r="L257" s="47"/>
      <c r="M257" s="47"/>
      <c r="N257" s="47"/>
      <c r="O257" s="47"/>
      <c r="P257" s="47"/>
    </row>
    <row r="258" spans="1:16" x14ac:dyDescent="0.2">
      <c r="B258" s="47"/>
      <c r="C258" s="16" t="s">
        <v>45</v>
      </c>
      <c r="D258" s="16" t="s">
        <v>46</v>
      </c>
      <c r="E258" s="16" t="s">
        <v>47</v>
      </c>
      <c r="F258" s="16" t="s">
        <v>48</v>
      </c>
      <c r="G258" s="16" t="s">
        <v>5</v>
      </c>
      <c r="K258" s="47"/>
      <c r="L258" s="16" t="s">
        <v>45</v>
      </c>
      <c r="M258" s="16" t="s">
        <v>46</v>
      </c>
      <c r="N258" s="16" t="s">
        <v>47</v>
      </c>
      <c r="O258" s="16" t="s">
        <v>48</v>
      </c>
      <c r="P258" s="16" t="s">
        <v>5</v>
      </c>
    </row>
    <row r="259" spans="1:16" x14ac:dyDescent="0.2">
      <c r="B259" s="2" t="s">
        <v>6</v>
      </c>
      <c r="C259" s="1">
        <v>-2.4790000000000001</v>
      </c>
      <c r="D259" s="1" t="s">
        <v>857</v>
      </c>
      <c r="E259" s="1" t="s">
        <v>49</v>
      </c>
      <c r="F259" s="1" t="s">
        <v>9</v>
      </c>
      <c r="G259" s="1">
        <v>0.36980000000000002</v>
      </c>
      <c r="K259" s="2" t="s">
        <v>6</v>
      </c>
      <c r="L259" s="1">
        <v>-6.319</v>
      </c>
      <c r="M259" s="1" t="s">
        <v>870</v>
      </c>
      <c r="N259" s="1" t="s">
        <v>49</v>
      </c>
      <c r="O259" s="1" t="s">
        <v>9</v>
      </c>
      <c r="P259" s="1">
        <v>0.18559999999999999</v>
      </c>
    </row>
    <row r="260" spans="1:16" x14ac:dyDescent="0.2">
      <c r="B260" s="2" t="s">
        <v>7</v>
      </c>
      <c r="C260" s="1">
        <v>-3.327</v>
      </c>
      <c r="D260" s="1" t="s">
        <v>858</v>
      </c>
      <c r="E260" s="1" t="s">
        <v>49</v>
      </c>
      <c r="F260" s="1" t="s">
        <v>9</v>
      </c>
      <c r="G260" s="1">
        <v>0.1691</v>
      </c>
      <c r="K260" s="2" t="s">
        <v>7</v>
      </c>
      <c r="L260" s="1">
        <v>-3.851</v>
      </c>
      <c r="M260" s="1" t="s">
        <v>871</v>
      </c>
      <c r="N260" s="1" t="s">
        <v>49</v>
      </c>
      <c r="O260" s="1" t="s">
        <v>9</v>
      </c>
      <c r="P260" s="1">
        <v>0.54659999999999997</v>
      </c>
    </row>
    <row r="261" spans="1:16" x14ac:dyDescent="0.2">
      <c r="B261" s="2" t="s">
        <v>8</v>
      </c>
      <c r="C261" s="1">
        <v>-1.984</v>
      </c>
      <c r="D261" s="1" t="s">
        <v>859</v>
      </c>
      <c r="E261" s="1" t="s">
        <v>49</v>
      </c>
      <c r="F261" s="1" t="s">
        <v>9</v>
      </c>
      <c r="G261" s="1">
        <v>0.54159999999999997</v>
      </c>
      <c r="K261" s="2" t="s">
        <v>8</v>
      </c>
      <c r="L261" s="1">
        <v>-8.32</v>
      </c>
      <c r="M261" s="1" t="s">
        <v>872</v>
      </c>
      <c r="N261" s="1" t="s">
        <v>49</v>
      </c>
      <c r="O261" s="1" t="s">
        <v>9</v>
      </c>
      <c r="P261" s="1">
        <v>6.4299999999999996E-2</v>
      </c>
    </row>
    <row r="264" spans="1:16" x14ac:dyDescent="0.2">
      <c r="A264" s="243" t="s">
        <v>850</v>
      </c>
      <c r="B264" s="15" t="s">
        <v>53</v>
      </c>
      <c r="J264" s="243" t="s">
        <v>873</v>
      </c>
      <c r="K264" s="15" t="s">
        <v>53</v>
      </c>
    </row>
    <row r="265" spans="1:16" x14ac:dyDescent="0.2">
      <c r="B265" s="2" t="s">
        <v>0</v>
      </c>
      <c r="E265" s="46">
        <v>9.3239999999999998</v>
      </c>
      <c r="K265" s="2" t="s">
        <v>0</v>
      </c>
      <c r="N265" s="46">
        <v>8.6379999999999999</v>
      </c>
    </row>
    <row r="266" spans="1:16" x14ac:dyDescent="0.2">
      <c r="B266" s="2" t="s">
        <v>36</v>
      </c>
      <c r="E266" s="46">
        <v>1.8E-3</v>
      </c>
      <c r="K266" s="2" t="s">
        <v>36</v>
      </c>
      <c r="N266" s="46">
        <v>2.5000000000000001E-3</v>
      </c>
    </row>
    <row r="267" spans="1:16" x14ac:dyDescent="0.2">
      <c r="B267" s="2" t="s">
        <v>37</v>
      </c>
      <c r="E267" s="46" t="s">
        <v>11</v>
      </c>
      <c r="K267" s="2" t="s">
        <v>37</v>
      </c>
      <c r="N267" s="46" t="s">
        <v>11</v>
      </c>
    </row>
    <row r="268" spans="1:16" x14ac:dyDescent="0.2">
      <c r="B268" s="2" t="s">
        <v>54</v>
      </c>
      <c r="E268" s="46" t="s">
        <v>41</v>
      </c>
      <c r="K268" s="2" t="s">
        <v>54</v>
      </c>
      <c r="N268" s="46" t="s">
        <v>41</v>
      </c>
    </row>
    <row r="269" spans="1:16" x14ac:dyDescent="0.2">
      <c r="B269" s="2" t="s">
        <v>55</v>
      </c>
      <c r="E269" s="46">
        <v>0.69979999999999998</v>
      </c>
      <c r="K269" s="2" t="s">
        <v>55</v>
      </c>
      <c r="N269" s="46">
        <v>0.6835</v>
      </c>
    </row>
    <row r="271" spans="1:16" x14ac:dyDescent="0.2">
      <c r="B271" s="3" t="s">
        <v>44</v>
      </c>
      <c r="C271" s="47"/>
      <c r="D271" s="47"/>
      <c r="E271" s="47"/>
      <c r="F271" s="47"/>
      <c r="G271" s="47"/>
      <c r="K271" s="3" t="s">
        <v>44</v>
      </c>
      <c r="L271" s="47"/>
      <c r="M271" s="47"/>
      <c r="N271" s="47"/>
      <c r="O271" s="47"/>
      <c r="P271" s="47"/>
    </row>
    <row r="272" spans="1:16" x14ac:dyDescent="0.2">
      <c r="B272" s="47"/>
      <c r="C272" s="16" t="s">
        <v>45</v>
      </c>
      <c r="D272" s="16" t="s">
        <v>46</v>
      </c>
      <c r="E272" s="16" t="s">
        <v>47</v>
      </c>
      <c r="F272" s="16" t="s">
        <v>48</v>
      </c>
      <c r="G272" s="16" t="s">
        <v>5</v>
      </c>
      <c r="K272" s="47"/>
      <c r="L272" s="16" t="s">
        <v>45</v>
      </c>
      <c r="M272" s="16" t="s">
        <v>46</v>
      </c>
      <c r="N272" s="16" t="s">
        <v>47</v>
      </c>
      <c r="O272" s="16" t="s">
        <v>48</v>
      </c>
      <c r="P272" s="16" t="s">
        <v>5</v>
      </c>
    </row>
    <row r="273" spans="1:16" x14ac:dyDescent="0.2">
      <c r="B273" s="2" t="s">
        <v>6</v>
      </c>
      <c r="C273" s="1">
        <v>-14.26</v>
      </c>
      <c r="D273" s="1" t="s">
        <v>860</v>
      </c>
      <c r="E273" s="1" t="s">
        <v>41</v>
      </c>
      <c r="F273" s="1" t="s">
        <v>11</v>
      </c>
      <c r="G273" s="1">
        <v>9.4000000000000004E-3</v>
      </c>
      <c r="K273" s="2" t="s">
        <v>6</v>
      </c>
      <c r="L273" s="1">
        <v>47.54</v>
      </c>
      <c r="M273" s="1" t="s">
        <v>874</v>
      </c>
      <c r="N273" s="1" t="s">
        <v>41</v>
      </c>
      <c r="O273" s="1" t="s">
        <v>11</v>
      </c>
      <c r="P273" s="1">
        <v>6.6E-3</v>
      </c>
    </row>
    <row r="274" spans="1:16" x14ac:dyDescent="0.2">
      <c r="B274" s="2" t="s">
        <v>7</v>
      </c>
      <c r="C274" s="1">
        <v>-14.09</v>
      </c>
      <c r="D274" s="1" t="s">
        <v>861</v>
      </c>
      <c r="E274" s="1" t="s">
        <v>41</v>
      </c>
      <c r="F274" s="1" t="s">
        <v>12</v>
      </c>
      <c r="G274" s="1">
        <v>1.0200000000000001E-2</v>
      </c>
      <c r="K274" s="2" t="s">
        <v>7</v>
      </c>
      <c r="L274" s="1">
        <v>47.13</v>
      </c>
      <c r="M274" s="1" t="s">
        <v>875</v>
      </c>
      <c r="N274" s="1" t="s">
        <v>41</v>
      </c>
      <c r="O274" s="1" t="s">
        <v>11</v>
      </c>
      <c r="P274" s="1">
        <v>7.0000000000000001E-3</v>
      </c>
    </row>
    <row r="275" spans="1:16" x14ac:dyDescent="0.2">
      <c r="B275" s="2" t="s">
        <v>8</v>
      </c>
      <c r="C275" s="1">
        <v>-16.64</v>
      </c>
      <c r="D275" s="1" t="s">
        <v>862</v>
      </c>
      <c r="E275" s="1" t="s">
        <v>41</v>
      </c>
      <c r="F275" s="1" t="s">
        <v>11</v>
      </c>
      <c r="G275" s="1">
        <v>3.2000000000000002E-3</v>
      </c>
      <c r="K275" s="2" t="s">
        <v>8</v>
      </c>
      <c r="L275" s="1">
        <v>42.83</v>
      </c>
      <c r="M275" s="1" t="s">
        <v>876</v>
      </c>
      <c r="N275" s="1" t="s">
        <v>41</v>
      </c>
      <c r="O275" s="1" t="s">
        <v>12</v>
      </c>
      <c r="P275" s="1">
        <v>1.3100000000000001E-2</v>
      </c>
    </row>
    <row r="278" spans="1:16" x14ac:dyDescent="0.2">
      <c r="A278" s="243" t="s">
        <v>851</v>
      </c>
      <c r="B278" s="15" t="s">
        <v>53</v>
      </c>
      <c r="J278" s="243" t="s">
        <v>877</v>
      </c>
      <c r="K278" s="15" t="s">
        <v>53</v>
      </c>
    </row>
    <row r="279" spans="1:16" x14ac:dyDescent="0.2">
      <c r="B279" s="2" t="s">
        <v>0</v>
      </c>
      <c r="E279" s="46">
        <v>77.59</v>
      </c>
      <c r="K279" s="2" t="s">
        <v>0</v>
      </c>
      <c r="N279" s="46">
        <v>247.8</v>
      </c>
    </row>
    <row r="280" spans="1:16" x14ac:dyDescent="0.2">
      <c r="B280" s="2" t="s">
        <v>36</v>
      </c>
      <c r="E280" s="46" t="s">
        <v>176</v>
      </c>
      <c r="K280" s="2" t="s">
        <v>36</v>
      </c>
      <c r="N280" s="46" t="s">
        <v>176</v>
      </c>
    </row>
    <row r="281" spans="1:16" x14ac:dyDescent="0.2">
      <c r="B281" s="2" t="s">
        <v>37</v>
      </c>
      <c r="E281" s="46" t="s">
        <v>10</v>
      </c>
      <c r="K281" s="2" t="s">
        <v>37</v>
      </c>
      <c r="N281" s="46" t="s">
        <v>10</v>
      </c>
    </row>
    <row r="282" spans="1:16" x14ac:dyDescent="0.2">
      <c r="B282" s="2" t="s">
        <v>54</v>
      </c>
      <c r="E282" s="46" t="s">
        <v>41</v>
      </c>
      <c r="K282" s="2" t="s">
        <v>54</v>
      </c>
      <c r="N282" s="46" t="s">
        <v>41</v>
      </c>
    </row>
    <row r="283" spans="1:16" x14ac:dyDescent="0.2">
      <c r="B283" s="2" t="s">
        <v>55</v>
      </c>
      <c r="E283" s="46">
        <v>0.95099999999999996</v>
      </c>
      <c r="K283" s="2" t="s">
        <v>55</v>
      </c>
      <c r="N283" s="46">
        <v>0.98409999999999997</v>
      </c>
    </row>
    <row r="285" spans="1:16" x14ac:dyDescent="0.2">
      <c r="B285" s="3" t="s">
        <v>44</v>
      </c>
      <c r="C285" s="47"/>
      <c r="D285" s="47"/>
      <c r="E285" s="47"/>
      <c r="F285" s="47"/>
      <c r="G285" s="47"/>
      <c r="K285" s="3" t="s">
        <v>44</v>
      </c>
      <c r="L285" s="47"/>
      <c r="M285" s="47"/>
      <c r="N285" s="47"/>
      <c r="O285" s="47"/>
      <c r="P285" s="47"/>
    </row>
    <row r="286" spans="1:16" x14ac:dyDescent="0.2">
      <c r="B286" s="47"/>
      <c r="C286" s="16" t="s">
        <v>45</v>
      </c>
      <c r="D286" s="16" t="s">
        <v>46</v>
      </c>
      <c r="E286" s="16" t="s">
        <v>47</v>
      </c>
      <c r="F286" s="16" t="s">
        <v>48</v>
      </c>
      <c r="G286" s="16" t="s">
        <v>5</v>
      </c>
      <c r="K286" s="47"/>
      <c r="L286" s="16" t="s">
        <v>45</v>
      </c>
      <c r="M286" s="16" t="s">
        <v>46</v>
      </c>
      <c r="N286" s="16" t="s">
        <v>47</v>
      </c>
      <c r="O286" s="16" t="s">
        <v>48</v>
      </c>
      <c r="P286" s="16" t="s">
        <v>5</v>
      </c>
    </row>
    <row r="287" spans="1:16" x14ac:dyDescent="0.2">
      <c r="B287" s="2" t="s">
        <v>6</v>
      </c>
      <c r="C287" s="1">
        <v>-18.3</v>
      </c>
      <c r="D287" s="1" t="s">
        <v>863</v>
      </c>
      <c r="E287" s="1" t="s">
        <v>41</v>
      </c>
      <c r="F287" s="1" t="s">
        <v>10</v>
      </c>
      <c r="G287" s="1" t="s">
        <v>176</v>
      </c>
      <c r="K287" s="2" t="s">
        <v>6</v>
      </c>
      <c r="L287" s="1">
        <v>-70.88</v>
      </c>
      <c r="M287" s="1" t="s">
        <v>878</v>
      </c>
      <c r="N287" s="1" t="s">
        <v>41</v>
      </c>
      <c r="O287" s="1" t="s">
        <v>10</v>
      </c>
      <c r="P287" s="1" t="s">
        <v>176</v>
      </c>
    </row>
    <row r="288" spans="1:16" x14ac:dyDescent="0.2">
      <c r="B288" s="2" t="s">
        <v>7</v>
      </c>
      <c r="C288" s="1">
        <v>-19.16</v>
      </c>
      <c r="D288" s="1" t="s">
        <v>864</v>
      </c>
      <c r="E288" s="1" t="s">
        <v>41</v>
      </c>
      <c r="F288" s="1" t="s">
        <v>10</v>
      </c>
      <c r="G288" s="1" t="s">
        <v>176</v>
      </c>
      <c r="K288" s="2" t="s">
        <v>7</v>
      </c>
      <c r="L288" s="1">
        <v>-66.44</v>
      </c>
      <c r="M288" s="1" t="s">
        <v>879</v>
      </c>
      <c r="N288" s="1" t="s">
        <v>41</v>
      </c>
      <c r="O288" s="1" t="s">
        <v>10</v>
      </c>
      <c r="P288" s="1" t="s">
        <v>176</v>
      </c>
    </row>
    <row r="289" spans="2:16" x14ac:dyDescent="0.2">
      <c r="B289" s="2" t="s">
        <v>8</v>
      </c>
      <c r="C289" s="1">
        <v>-20.29</v>
      </c>
      <c r="D289" s="1" t="s">
        <v>865</v>
      </c>
      <c r="E289" s="1" t="s">
        <v>41</v>
      </c>
      <c r="F289" s="1" t="s">
        <v>10</v>
      </c>
      <c r="G289" s="1" t="s">
        <v>176</v>
      </c>
      <c r="K289" s="2" t="s">
        <v>8</v>
      </c>
      <c r="L289" s="1">
        <v>-67.92</v>
      </c>
      <c r="M289" s="1" t="s">
        <v>880</v>
      </c>
      <c r="N289" s="1" t="s">
        <v>41</v>
      </c>
      <c r="O289" s="1" t="s">
        <v>10</v>
      </c>
      <c r="P289" s="1" t="s">
        <v>176</v>
      </c>
    </row>
  </sheetData>
  <mergeCells count="44">
    <mergeCell ref="B217:D217"/>
    <mergeCell ref="B225:D225"/>
    <mergeCell ref="B170:D170"/>
    <mergeCell ref="B177:D177"/>
    <mergeCell ref="B185:D185"/>
    <mergeCell ref="B193:D193"/>
    <mergeCell ref="B201:D201"/>
    <mergeCell ref="B209:D209"/>
    <mergeCell ref="B162:D162"/>
    <mergeCell ref="B106:D106"/>
    <mergeCell ref="I106:M106"/>
    <mergeCell ref="B114:D114"/>
    <mergeCell ref="I114:M114"/>
    <mergeCell ref="B122:D122"/>
    <mergeCell ref="I122:M122"/>
    <mergeCell ref="B130:D130"/>
    <mergeCell ref="I130:M130"/>
    <mergeCell ref="B138:D138"/>
    <mergeCell ref="B146:D146"/>
    <mergeCell ref="B154:D154"/>
    <mergeCell ref="B82:D82"/>
    <mergeCell ref="I82:M82"/>
    <mergeCell ref="B90:D90"/>
    <mergeCell ref="I90:M90"/>
    <mergeCell ref="B98:D98"/>
    <mergeCell ref="I98:M98"/>
    <mergeCell ref="B58:D58"/>
    <mergeCell ref="I58:M58"/>
    <mergeCell ref="B66:D66"/>
    <mergeCell ref="I66:M66"/>
    <mergeCell ref="B74:D74"/>
    <mergeCell ref="I74:M74"/>
    <mergeCell ref="B34:D34"/>
    <mergeCell ref="I34:M34"/>
    <mergeCell ref="B42:D42"/>
    <mergeCell ref="I42:M42"/>
    <mergeCell ref="B50:D50"/>
    <mergeCell ref="I50:M50"/>
    <mergeCell ref="B10:D10"/>
    <mergeCell ref="I10:M10"/>
    <mergeCell ref="B18:D18"/>
    <mergeCell ref="I18:M18"/>
    <mergeCell ref="B26:D26"/>
    <mergeCell ref="I26:M26"/>
  </mergeCells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2:AD106"/>
  <sheetViews>
    <sheetView zoomScale="77" zoomScaleNormal="77" zoomScalePageLayoutView="77" workbookViewId="0">
      <selection activeCell="P84" sqref="P84"/>
    </sheetView>
  </sheetViews>
  <sheetFormatPr baseColWidth="10" defaultRowHeight="16" x14ac:dyDescent="0.2"/>
  <cols>
    <col min="1" max="1" width="17" customWidth="1"/>
    <col min="2" max="2" width="14.6640625" customWidth="1"/>
    <col min="3" max="3" width="16.1640625" bestFit="1" customWidth="1"/>
    <col min="4" max="4" width="17.6640625" customWidth="1"/>
    <col min="5" max="5" width="18.1640625" customWidth="1"/>
    <col min="9" max="10" width="17.33203125" bestFit="1" customWidth="1"/>
    <col min="11" max="11" width="17.83203125" bestFit="1" customWidth="1"/>
    <col min="15" max="16" width="17.33203125" bestFit="1" customWidth="1"/>
    <col min="17" max="17" width="17.83203125" bestFit="1" customWidth="1"/>
    <col min="18" max="18" width="15.6640625" customWidth="1"/>
    <col min="21" max="21" width="18.5" customWidth="1"/>
    <col min="22" max="22" width="17.33203125" bestFit="1" customWidth="1"/>
    <col min="23" max="23" width="17.83203125" bestFit="1" customWidth="1"/>
  </cols>
  <sheetData>
    <row r="2" spans="1:30" ht="18" x14ac:dyDescent="0.2">
      <c r="A2" s="53" t="s">
        <v>888</v>
      </c>
      <c r="B2" s="14"/>
      <c r="C2" s="9"/>
      <c r="D2" s="9"/>
      <c r="E2" s="9"/>
      <c r="F2" s="9"/>
    </row>
    <row r="3" spans="1:30" x14ac:dyDescent="0.2">
      <c r="A3" s="9"/>
      <c r="B3" s="9"/>
      <c r="C3" s="9"/>
      <c r="D3" s="9"/>
      <c r="E3" s="9"/>
      <c r="F3" s="9"/>
    </row>
    <row r="4" spans="1:30" ht="18" x14ac:dyDescent="0.2">
      <c r="A4" s="14" t="s">
        <v>881</v>
      </c>
      <c r="B4" s="14"/>
      <c r="C4" s="14"/>
      <c r="D4" s="14"/>
      <c r="E4" s="14"/>
      <c r="F4" s="9"/>
    </row>
    <row r="5" spans="1:30" x14ac:dyDescent="0.2">
      <c r="A5" s="9"/>
      <c r="B5" s="9"/>
      <c r="C5" s="9"/>
      <c r="D5" s="9"/>
      <c r="E5" s="9"/>
      <c r="F5" s="9"/>
    </row>
    <row r="6" spans="1:30" x14ac:dyDescent="0.2">
      <c r="A6" s="52" t="s">
        <v>658</v>
      </c>
      <c r="B6" s="9" t="s">
        <v>179</v>
      </c>
      <c r="C6" s="9"/>
      <c r="D6" s="9"/>
      <c r="E6" s="9"/>
      <c r="F6" s="9"/>
      <c r="H6" s="143" t="s">
        <v>180</v>
      </c>
      <c r="Q6" s="217" t="s">
        <v>662</v>
      </c>
      <c r="R6" s="254" t="s">
        <v>179</v>
      </c>
      <c r="S6" s="254"/>
      <c r="T6" s="254"/>
      <c r="U6" s="254"/>
      <c r="V6" s="254"/>
      <c r="W6" s="266"/>
      <c r="X6" s="254" t="s">
        <v>180</v>
      </c>
      <c r="Y6" s="267"/>
      <c r="Z6" s="266"/>
      <c r="AA6" s="266"/>
      <c r="AB6" s="266"/>
      <c r="AC6" s="266"/>
      <c r="AD6" s="266"/>
    </row>
    <row r="7" spans="1:30" x14ac:dyDescent="0.2">
      <c r="A7" s="9"/>
      <c r="C7" s="9"/>
      <c r="D7" s="9"/>
      <c r="E7" s="9"/>
      <c r="F7" s="9"/>
      <c r="Q7" s="254"/>
      <c r="R7" s="266"/>
      <c r="S7" s="254"/>
      <c r="T7" s="254"/>
      <c r="U7" s="254"/>
      <c r="V7" s="254"/>
      <c r="W7" s="266"/>
      <c r="X7" s="266"/>
      <c r="Y7" s="266"/>
      <c r="Z7" s="266"/>
      <c r="AA7" s="266"/>
      <c r="AB7" s="266"/>
      <c r="AC7" s="266"/>
      <c r="AD7" s="266"/>
    </row>
    <row r="8" spans="1:30" x14ac:dyDescent="0.2">
      <c r="A8" s="9"/>
      <c r="B8" s="59" t="s">
        <v>1</v>
      </c>
      <c r="C8" s="268" t="s">
        <v>882</v>
      </c>
      <c r="D8" s="268" t="s">
        <v>883</v>
      </c>
      <c r="E8" s="268" t="s">
        <v>884</v>
      </c>
      <c r="F8" s="110"/>
      <c r="H8" s="59" t="s">
        <v>1</v>
      </c>
      <c r="I8" s="268" t="s">
        <v>885</v>
      </c>
      <c r="J8" s="268" t="s">
        <v>886</v>
      </c>
      <c r="K8" s="268" t="s">
        <v>887</v>
      </c>
      <c r="L8" s="235" t="s">
        <v>336</v>
      </c>
      <c r="Q8" s="254"/>
      <c r="R8" s="269" t="s">
        <v>1</v>
      </c>
      <c r="S8" s="270" t="s">
        <v>882</v>
      </c>
      <c r="T8" s="270" t="s">
        <v>883</v>
      </c>
      <c r="U8" s="270" t="s">
        <v>884</v>
      </c>
      <c r="V8" s="248"/>
      <c r="W8" s="266"/>
      <c r="X8" s="269" t="s">
        <v>1</v>
      </c>
      <c r="Y8" s="270" t="s">
        <v>885</v>
      </c>
      <c r="Z8" s="270" t="s">
        <v>886</v>
      </c>
      <c r="AA8" s="270" t="s">
        <v>887</v>
      </c>
      <c r="AB8" s="271" t="s">
        <v>336</v>
      </c>
      <c r="AC8" s="266"/>
      <c r="AD8" s="266"/>
    </row>
    <row r="9" spans="1:30" x14ac:dyDescent="0.2">
      <c r="A9" s="9"/>
      <c r="B9" s="436" t="s">
        <v>32</v>
      </c>
      <c r="C9" s="55">
        <f t="shared" ref="C9:C16" si="0">I9/L9*100</f>
        <v>4.10958904109589</v>
      </c>
      <c r="D9" s="55">
        <f t="shared" ref="D9:D16" si="1">J9/L9*100</f>
        <v>93.150684931506845</v>
      </c>
      <c r="E9" s="55">
        <f t="shared" ref="E9:E16" si="2">K9/L9*100</f>
        <v>2.7397260273972601</v>
      </c>
      <c r="F9" s="64"/>
      <c r="H9" s="436" t="s">
        <v>32</v>
      </c>
      <c r="I9" s="272">
        <v>3</v>
      </c>
      <c r="J9" s="272">
        <v>68</v>
      </c>
      <c r="K9" s="272">
        <v>2</v>
      </c>
      <c r="L9" s="272">
        <f>SUM(I9:K9)</f>
        <v>73</v>
      </c>
      <c r="Q9" s="254"/>
      <c r="R9" s="453" t="s">
        <v>32</v>
      </c>
      <c r="S9" s="55">
        <f t="shared" ref="S9:S16" si="3">Y9/AB9*100</f>
        <v>24.489795918367346</v>
      </c>
      <c r="T9" s="55">
        <f t="shared" ref="T9:T16" si="4">Z9/AB9*100</f>
        <v>57.142857142857139</v>
      </c>
      <c r="U9" s="55">
        <f t="shared" ref="U9:U16" si="5">AA9/AB9*100</f>
        <v>18.367346938775512</v>
      </c>
      <c r="V9" s="254"/>
      <c r="W9" s="266"/>
      <c r="X9" s="453" t="s">
        <v>32</v>
      </c>
      <c r="Y9" s="272">
        <v>12</v>
      </c>
      <c r="Z9" s="272">
        <v>28</v>
      </c>
      <c r="AA9" s="272">
        <v>9</v>
      </c>
      <c r="AB9" s="272">
        <f>SUM(Y9:AA9)</f>
        <v>49</v>
      </c>
      <c r="AC9" s="266"/>
      <c r="AD9" s="266"/>
    </row>
    <row r="10" spans="1:30" x14ac:dyDescent="0.2">
      <c r="A10" s="9"/>
      <c r="B10" s="436" t="s">
        <v>33</v>
      </c>
      <c r="C10" s="55">
        <f t="shared" si="0"/>
        <v>4.9689440993788816</v>
      </c>
      <c r="D10" s="55">
        <f t="shared" si="1"/>
        <v>54.037267080745345</v>
      </c>
      <c r="E10" s="55">
        <f t="shared" si="2"/>
        <v>40.993788819875775</v>
      </c>
      <c r="F10" s="64"/>
      <c r="H10" s="436" t="s">
        <v>33</v>
      </c>
      <c r="I10" s="272">
        <v>8</v>
      </c>
      <c r="J10" s="272">
        <v>87</v>
      </c>
      <c r="K10" s="272">
        <v>66</v>
      </c>
      <c r="L10" s="272">
        <f t="shared" ref="L10:L16" si="6">SUM(I10:K10)</f>
        <v>161</v>
      </c>
      <c r="Q10" s="254"/>
      <c r="R10" s="453" t="s">
        <v>33</v>
      </c>
      <c r="S10" s="55">
        <f t="shared" si="3"/>
        <v>6.7484662576687118</v>
      </c>
      <c r="T10" s="55">
        <f t="shared" si="4"/>
        <v>87.730061349693258</v>
      </c>
      <c r="U10" s="55">
        <f t="shared" si="5"/>
        <v>5.5214723926380369</v>
      </c>
      <c r="V10" s="254"/>
      <c r="W10" s="266"/>
      <c r="X10" s="453" t="s">
        <v>33</v>
      </c>
      <c r="Y10" s="272">
        <v>11</v>
      </c>
      <c r="Z10" s="272">
        <v>143</v>
      </c>
      <c r="AA10" s="272">
        <v>9</v>
      </c>
      <c r="AB10" s="272">
        <f t="shared" ref="AB10:AB16" si="7">SUM(Y10:AA10)</f>
        <v>163</v>
      </c>
      <c r="AC10" s="266"/>
      <c r="AD10" s="266"/>
    </row>
    <row r="11" spans="1:30" x14ac:dyDescent="0.2">
      <c r="A11" s="9"/>
      <c r="B11" s="436" t="s">
        <v>34</v>
      </c>
      <c r="C11" s="55">
        <f t="shared" si="0"/>
        <v>2.197802197802198</v>
      </c>
      <c r="D11" s="55">
        <f t="shared" si="1"/>
        <v>70.329670329670336</v>
      </c>
      <c r="E11" s="55">
        <f t="shared" si="2"/>
        <v>27.472527472527474</v>
      </c>
      <c r="F11" s="64"/>
      <c r="H11" s="436" t="s">
        <v>34</v>
      </c>
      <c r="I11" s="272">
        <v>2</v>
      </c>
      <c r="J11" s="272">
        <v>64</v>
      </c>
      <c r="K11" s="272">
        <v>25</v>
      </c>
      <c r="L11" s="272">
        <f t="shared" si="6"/>
        <v>91</v>
      </c>
      <c r="Q11" s="254"/>
      <c r="R11" s="453" t="s">
        <v>34</v>
      </c>
      <c r="S11" s="55">
        <f t="shared" si="3"/>
        <v>17.567567567567568</v>
      </c>
      <c r="T11" s="55">
        <f t="shared" si="4"/>
        <v>62.162162162162161</v>
      </c>
      <c r="U11" s="55">
        <f t="shared" si="5"/>
        <v>20.27027027027027</v>
      </c>
      <c r="V11" s="254"/>
      <c r="W11" s="266"/>
      <c r="X11" s="453" t="s">
        <v>34</v>
      </c>
      <c r="Y11" s="272">
        <v>13</v>
      </c>
      <c r="Z11" s="272">
        <v>46</v>
      </c>
      <c r="AA11" s="272">
        <v>15</v>
      </c>
      <c r="AB11" s="272">
        <f t="shared" si="7"/>
        <v>74</v>
      </c>
      <c r="AC11" s="266"/>
      <c r="AD11" s="266"/>
    </row>
    <row r="12" spans="1:30" x14ac:dyDescent="0.2">
      <c r="A12" s="9"/>
      <c r="B12" s="436" t="s">
        <v>35</v>
      </c>
      <c r="C12" s="55">
        <f t="shared" si="0"/>
        <v>4.225352112676056</v>
      </c>
      <c r="D12" s="55">
        <f t="shared" si="1"/>
        <v>85.91549295774648</v>
      </c>
      <c r="E12" s="55">
        <f t="shared" si="2"/>
        <v>9.8591549295774641</v>
      </c>
      <c r="F12" s="64"/>
      <c r="H12" s="436" t="s">
        <v>35</v>
      </c>
      <c r="I12" s="272">
        <v>6</v>
      </c>
      <c r="J12" s="272">
        <v>122</v>
      </c>
      <c r="K12" s="272">
        <v>14</v>
      </c>
      <c r="L12" s="272">
        <f t="shared" si="6"/>
        <v>142</v>
      </c>
      <c r="Q12" s="254"/>
      <c r="R12" s="453" t="s">
        <v>35</v>
      </c>
      <c r="S12" s="55">
        <f t="shared" si="3"/>
        <v>5.5900621118012426</v>
      </c>
      <c r="T12" s="55">
        <f t="shared" si="4"/>
        <v>85.714285714285708</v>
      </c>
      <c r="U12" s="55">
        <f t="shared" si="5"/>
        <v>8.695652173913043</v>
      </c>
      <c r="V12" s="254"/>
      <c r="W12" s="266"/>
      <c r="X12" s="453" t="s">
        <v>35</v>
      </c>
      <c r="Y12" s="272">
        <v>9</v>
      </c>
      <c r="Z12" s="272">
        <v>138</v>
      </c>
      <c r="AA12" s="272">
        <v>14</v>
      </c>
      <c r="AB12" s="272">
        <f t="shared" si="7"/>
        <v>161</v>
      </c>
      <c r="AC12" s="266"/>
      <c r="AD12" s="266"/>
    </row>
    <row r="13" spans="1:30" x14ac:dyDescent="0.2">
      <c r="A13" s="9"/>
      <c r="B13" s="436" t="s">
        <v>81</v>
      </c>
      <c r="C13" s="55">
        <f t="shared" si="0"/>
        <v>7.9545454545454541</v>
      </c>
      <c r="D13" s="55">
        <f t="shared" si="1"/>
        <v>76.13636363636364</v>
      </c>
      <c r="E13" s="55">
        <f t="shared" si="2"/>
        <v>15.909090909090908</v>
      </c>
      <c r="F13" s="64"/>
      <c r="H13" s="436" t="s">
        <v>81</v>
      </c>
      <c r="I13" s="272">
        <v>7</v>
      </c>
      <c r="J13" s="272">
        <v>67</v>
      </c>
      <c r="K13" s="272">
        <v>14</v>
      </c>
      <c r="L13" s="272">
        <f t="shared" si="6"/>
        <v>88</v>
      </c>
      <c r="Q13" s="254"/>
      <c r="R13" s="453" t="s">
        <v>81</v>
      </c>
      <c r="S13" s="55">
        <f t="shared" si="3"/>
        <v>7.6923076923076925</v>
      </c>
      <c r="T13" s="55">
        <f t="shared" si="4"/>
        <v>90.384615384615387</v>
      </c>
      <c r="U13" s="55">
        <f t="shared" si="5"/>
        <v>1.9230769230769231</v>
      </c>
      <c r="V13" s="254"/>
      <c r="W13" s="266"/>
      <c r="X13" s="453" t="s">
        <v>81</v>
      </c>
      <c r="Y13" s="272">
        <v>8</v>
      </c>
      <c r="Z13" s="272">
        <v>94</v>
      </c>
      <c r="AA13" s="272">
        <v>2</v>
      </c>
      <c r="AB13" s="272">
        <f t="shared" si="7"/>
        <v>104</v>
      </c>
      <c r="AC13" s="266"/>
      <c r="AD13" s="266"/>
    </row>
    <row r="14" spans="1:30" x14ac:dyDescent="0.2">
      <c r="A14" s="9"/>
      <c r="B14" s="436" t="s">
        <v>169</v>
      </c>
      <c r="C14" s="55">
        <f t="shared" si="0"/>
        <v>2.2058823529411766</v>
      </c>
      <c r="D14" s="55">
        <f t="shared" si="1"/>
        <v>63.235294117647058</v>
      </c>
      <c r="E14" s="55">
        <f t="shared" si="2"/>
        <v>34.558823529411761</v>
      </c>
      <c r="F14" s="232"/>
      <c r="H14" s="436" t="s">
        <v>169</v>
      </c>
      <c r="I14" s="272">
        <v>3</v>
      </c>
      <c r="J14" s="272">
        <v>86</v>
      </c>
      <c r="K14" s="272">
        <v>47</v>
      </c>
      <c r="L14" s="272">
        <f t="shared" si="6"/>
        <v>136</v>
      </c>
      <c r="Q14" s="254"/>
      <c r="R14" s="453" t="s">
        <v>169</v>
      </c>
      <c r="S14" s="55">
        <f t="shared" si="3"/>
        <v>3.8834951456310676</v>
      </c>
      <c r="T14" s="55">
        <f t="shared" si="4"/>
        <v>90.77669902912622</v>
      </c>
      <c r="U14" s="55">
        <f t="shared" si="5"/>
        <v>5.3398058252427179</v>
      </c>
      <c r="V14" s="273"/>
      <c r="W14" s="266"/>
      <c r="X14" s="453" t="s">
        <v>169</v>
      </c>
      <c r="Y14" s="272">
        <v>8</v>
      </c>
      <c r="Z14" s="272">
        <v>187</v>
      </c>
      <c r="AA14" s="272">
        <v>11</v>
      </c>
      <c r="AB14" s="272">
        <f t="shared" si="7"/>
        <v>206</v>
      </c>
      <c r="AC14" s="266"/>
      <c r="AD14" s="266"/>
    </row>
    <row r="15" spans="1:30" x14ac:dyDescent="0.2">
      <c r="B15" s="436" t="s">
        <v>170</v>
      </c>
      <c r="C15" s="55">
        <f t="shared" si="0"/>
        <v>9.9009900990099009</v>
      </c>
      <c r="D15" s="55">
        <f t="shared" si="1"/>
        <v>78.21782178217822</v>
      </c>
      <c r="E15" s="55">
        <f t="shared" si="2"/>
        <v>11.881188118811881</v>
      </c>
      <c r="H15" s="436" t="s">
        <v>170</v>
      </c>
      <c r="I15" s="272">
        <v>10</v>
      </c>
      <c r="J15" s="272">
        <v>79</v>
      </c>
      <c r="K15" s="272">
        <v>12</v>
      </c>
      <c r="L15" s="272">
        <f t="shared" si="6"/>
        <v>101</v>
      </c>
      <c r="Q15" s="266"/>
      <c r="R15" s="453" t="s">
        <v>170</v>
      </c>
      <c r="S15" s="55">
        <f t="shared" si="3"/>
        <v>7.3529411764705888</v>
      </c>
      <c r="T15" s="55">
        <f t="shared" si="4"/>
        <v>88.235294117647058</v>
      </c>
      <c r="U15" s="55">
        <f t="shared" si="5"/>
        <v>4.4117647058823533</v>
      </c>
      <c r="V15" s="266"/>
      <c r="W15" s="266"/>
      <c r="X15" s="453" t="s">
        <v>170</v>
      </c>
      <c r="Y15" s="272">
        <v>15</v>
      </c>
      <c r="Z15" s="272">
        <v>180</v>
      </c>
      <c r="AA15" s="272">
        <v>9</v>
      </c>
      <c r="AB15" s="272">
        <f t="shared" si="7"/>
        <v>204</v>
      </c>
      <c r="AC15" s="266"/>
      <c r="AD15" s="266"/>
    </row>
    <row r="16" spans="1:30" x14ac:dyDescent="0.2">
      <c r="B16" s="436" t="s">
        <v>171</v>
      </c>
      <c r="C16" s="55">
        <f t="shared" si="0"/>
        <v>8.8050314465408803</v>
      </c>
      <c r="D16" s="55">
        <f t="shared" si="1"/>
        <v>54.716981132075468</v>
      </c>
      <c r="E16" s="55">
        <f t="shared" si="2"/>
        <v>36.477987421383645</v>
      </c>
      <c r="H16" s="436" t="s">
        <v>171</v>
      </c>
      <c r="I16" s="272">
        <v>14</v>
      </c>
      <c r="J16" s="272">
        <v>87</v>
      </c>
      <c r="K16" s="272">
        <v>58</v>
      </c>
      <c r="L16" s="272">
        <f t="shared" si="6"/>
        <v>159</v>
      </c>
      <c r="Q16" s="266"/>
      <c r="R16" s="453" t="s">
        <v>171</v>
      </c>
      <c r="S16" s="55">
        <f t="shared" si="3"/>
        <v>3.3333333333333335</v>
      </c>
      <c r="T16" s="55">
        <f t="shared" si="4"/>
        <v>87.5</v>
      </c>
      <c r="U16" s="55">
        <f t="shared" si="5"/>
        <v>9.1666666666666661</v>
      </c>
      <c r="V16" s="266"/>
      <c r="W16" s="266"/>
      <c r="X16" s="453" t="s">
        <v>171</v>
      </c>
      <c r="Y16" s="272">
        <v>4</v>
      </c>
      <c r="Z16" s="272">
        <v>105</v>
      </c>
      <c r="AA16" s="272">
        <v>11</v>
      </c>
      <c r="AB16" s="272">
        <f t="shared" si="7"/>
        <v>120</v>
      </c>
      <c r="AC16" s="266"/>
      <c r="AD16" s="266"/>
    </row>
    <row r="17" spans="1:30" x14ac:dyDescent="0.2">
      <c r="A17" s="78"/>
      <c r="B17" s="107"/>
      <c r="C17" s="64"/>
      <c r="D17" s="64"/>
      <c r="E17" s="64"/>
      <c r="F17" s="78"/>
      <c r="H17" s="107"/>
      <c r="I17" s="68"/>
      <c r="J17" s="68"/>
      <c r="K17" s="68"/>
      <c r="L17" s="68"/>
      <c r="M17" s="78"/>
      <c r="Q17" s="266"/>
      <c r="R17" s="267"/>
      <c r="S17" s="254"/>
      <c r="T17" s="254"/>
      <c r="U17" s="254"/>
      <c r="V17" s="266"/>
      <c r="W17" s="266"/>
      <c r="X17" s="267"/>
      <c r="Y17" s="254"/>
      <c r="Z17" s="254"/>
      <c r="AA17" s="254"/>
      <c r="AB17" s="254"/>
      <c r="AC17" s="266"/>
      <c r="AD17" s="266"/>
    </row>
    <row r="18" spans="1:30" x14ac:dyDescent="0.2">
      <c r="A18" s="78"/>
      <c r="B18" s="107"/>
      <c r="C18" s="64"/>
      <c r="D18" s="64"/>
      <c r="E18" s="64"/>
      <c r="F18" s="78"/>
      <c r="H18" s="107"/>
      <c r="I18" s="68"/>
      <c r="J18" s="68"/>
      <c r="K18" s="68"/>
      <c r="L18" s="68"/>
      <c r="M18" s="78"/>
      <c r="Q18" s="266"/>
      <c r="R18" s="267"/>
      <c r="S18" s="254"/>
      <c r="T18" s="254"/>
      <c r="U18" s="254"/>
      <c r="V18" s="266"/>
      <c r="W18" s="266"/>
      <c r="X18" s="267"/>
      <c r="Y18" s="254"/>
      <c r="Z18" s="254"/>
      <c r="AA18" s="254"/>
      <c r="AB18" s="254"/>
      <c r="AC18" s="266"/>
      <c r="AD18" s="266"/>
    </row>
    <row r="19" spans="1:30" x14ac:dyDescent="0.2">
      <c r="A19" s="78"/>
      <c r="B19" s="9" t="s">
        <v>179</v>
      </c>
      <c r="C19" s="9"/>
      <c r="D19" s="9"/>
      <c r="E19" s="9"/>
      <c r="H19" s="143" t="s">
        <v>180</v>
      </c>
      <c r="Q19" s="266"/>
      <c r="R19" s="254" t="s">
        <v>179</v>
      </c>
      <c r="S19" s="254"/>
      <c r="T19" s="254"/>
      <c r="U19" s="254"/>
      <c r="V19" s="266"/>
      <c r="W19" s="266"/>
      <c r="X19" s="267" t="s">
        <v>180</v>
      </c>
      <c r="Y19" s="267"/>
      <c r="Z19" s="266"/>
      <c r="AA19" s="266"/>
      <c r="AB19" s="266"/>
      <c r="AC19" s="266"/>
      <c r="AD19" s="266"/>
    </row>
    <row r="20" spans="1:30" x14ac:dyDescent="0.2">
      <c r="C20" s="9"/>
      <c r="D20" s="9"/>
      <c r="E20" s="9"/>
      <c r="Q20" s="266"/>
      <c r="R20" s="266"/>
      <c r="S20" s="254"/>
      <c r="T20" s="254"/>
      <c r="U20" s="254"/>
      <c r="V20" s="266"/>
      <c r="W20" s="266"/>
      <c r="X20" s="266"/>
      <c r="Y20" s="266"/>
      <c r="Z20" s="266"/>
      <c r="AA20" s="266"/>
      <c r="AB20" s="266"/>
      <c r="AC20" s="266"/>
      <c r="AD20" s="266"/>
    </row>
    <row r="21" spans="1:30" x14ac:dyDescent="0.2">
      <c r="B21" s="59" t="s">
        <v>2</v>
      </c>
      <c r="C21" s="268" t="s">
        <v>882</v>
      </c>
      <c r="D21" s="268" t="s">
        <v>883</v>
      </c>
      <c r="E21" s="268" t="s">
        <v>884</v>
      </c>
      <c r="H21" s="59" t="s">
        <v>2</v>
      </c>
      <c r="I21" s="268" t="s">
        <v>885</v>
      </c>
      <c r="J21" s="268" t="s">
        <v>886</v>
      </c>
      <c r="K21" s="268" t="s">
        <v>887</v>
      </c>
      <c r="L21" s="235" t="s">
        <v>336</v>
      </c>
      <c r="Q21" s="266"/>
      <c r="R21" s="269" t="s">
        <v>2</v>
      </c>
      <c r="S21" s="270" t="s">
        <v>882</v>
      </c>
      <c r="T21" s="270" t="s">
        <v>883</v>
      </c>
      <c r="U21" s="270" t="s">
        <v>884</v>
      </c>
      <c r="V21" s="266"/>
      <c r="W21" s="266"/>
      <c r="X21" s="269" t="s">
        <v>2</v>
      </c>
      <c r="Y21" s="270" t="s">
        <v>885</v>
      </c>
      <c r="Z21" s="270" t="s">
        <v>886</v>
      </c>
      <c r="AA21" s="270" t="s">
        <v>887</v>
      </c>
      <c r="AB21" s="271" t="s">
        <v>336</v>
      </c>
      <c r="AC21" s="266"/>
      <c r="AD21" s="266"/>
    </row>
    <row r="22" spans="1:30" x14ac:dyDescent="0.2">
      <c r="B22" s="436" t="s">
        <v>32</v>
      </c>
      <c r="C22" s="55">
        <v>65.079365079365076</v>
      </c>
      <c r="D22" s="55">
        <f>J22/L22*100</f>
        <v>3.5714285714285712</v>
      </c>
      <c r="E22" s="55">
        <f>K22/L22*100</f>
        <v>23.214285714285715</v>
      </c>
      <c r="H22" s="436" t="s">
        <v>32</v>
      </c>
      <c r="I22" s="272">
        <v>82</v>
      </c>
      <c r="J22" s="272">
        <v>4</v>
      </c>
      <c r="K22" s="272">
        <v>26</v>
      </c>
      <c r="L22" s="272">
        <f>SUM(I22:K22)</f>
        <v>112</v>
      </c>
      <c r="Q22" s="266"/>
      <c r="R22" s="453" t="s">
        <v>32</v>
      </c>
      <c r="S22" s="55">
        <f>Y22/AB22*100</f>
        <v>66.666666666666657</v>
      </c>
      <c r="T22" s="55">
        <f>Z22/AB22*100</f>
        <v>2.083333333333333</v>
      </c>
      <c r="U22" s="55">
        <f>AA22/AB22*100</f>
        <v>31.25</v>
      </c>
      <c r="V22" s="266"/>
      <c r="W22" s="266"/>
      <c r="X22" s="453" t="s">
        <v>32</v>
      </c>
      <c r="Y22" s="344">
        <v>64</v>
      </c>
      <c r="Z22" s="344">
        <v>2</v>
      </c>
      <c r="AA22" s="344">
        <v>30</v>
      </c>
      <c r="AB22" s="344">
        <f>SUM(Y22:AA22)</f>
        <v>96</v>
      </c>
      <c r="AC22" s="266"/>
      <c r="AD22" s="266"/>
    </row>
    <row r="23" spans="1:30" x14ac:dyDescent="0.2">
      <c r="B23" s="436" t="s">
        <v>33</v>
      </c>
      <c r="C23" s="55">
        <v>66.428571428571431</v>
      </c>
      <c r="D23" s="55">
        <f>J23/L23*100</f>
        <v>36.024844720496894</v>
      </c>
      <c r="E23" s="55">
        <f>K23/L23*100</f>
        <v>6.2111801242236027</v>
      </c>
      <c r="H23" s="436" t="s">
        <v>33</v>
      </c>
      <c r="I23" s="272">
        <v>93</v>
      </c>
      <c r="J23" s="272">
        <v>58</v>
      </c>
      <c r="K23" s="272">
        <v>10</v>
      </c>
      <c r="L23" s="272">
        <f>SUM(I23:K23)</f>
        <v>161</v>
      </c>
      <c r="Q23" s="266"/>
      <c r="R23" s="453" t="s">
        <v>33</v>
      </c>
      <c r="S23" s="55">
        <f>Y23/AB23*100</f>
        <v>74.678111587982826</v>
      </c>
      <c r="T23" s="55">
        <f>Z23/AB23*100</f>
        <v>2.1459227467811157</v>
      </c>
      <c r="U23" s="55">
        <f>AA23/AB23*100</f>
        <v>23.175965665236049</v>
      </c>
      <c r="V23" s="266"/>
      <c r="W23" s="266"/>
      <c r="X23" s="453" t="s">
        <v>33</v>
      </c>
      <c r="Y23" s="344">
        <v>174</v>
      </c>
      <c r="Z23" s="344">
        <v>5</v>
      </c>
      <c r="AA23" s="344">
        <v>54</v>
      </c>
      <c r="AB23" s="344">
        <f>SUM(Y23:AA23)</f>
        <v>233</v>
      </c>
      <c r="AC23" s="266"/>
      <c r="AD23" s="266"/>
    </row>
    <row r="24" spans="1:30" x14ac:dyDescent="0.2">
      <c r="B24" s="436" t="s">
        <v>34</v>
      </c>
      <c r="C24" s="55">
        <v>63.571428571428569</v>
      </c>
      <c r="D24" s="55">
        <f>J24/L24*100</f>
        <v>25</v>
      </c>
      <c r="E24" s="55">
        <f>K24/L24*100</f>
        <v>17.948717948717949</v>
      </c>
      <c r="H24" s="436" t="s">
        <v>34</v>
      </c>
      <c r="I24" s="272">
        <v>89</v>
      </c>
      <c r="J24" s="272">
        <v>39</v>
      </c>
      <c r="K24" s="272">
        <v>28</v>
      </c>
      <c r="L24" s="272">
        <f>SUM(I24:K24)</f>
        <v>156</v>
      </c>
      <c r="Q24" s="266"/>
      <c r="R24" s="453" t="s">
        <v>34</v>
      </c>
      <c r="S24" s="55">
        <f>Y24/AB24*100</f>
        <v>45.121951219512198</v>
      </c>
      <c r="T24" s="55">
        <f>Z24/AB24*100</f>
        <v>3.6585365853658534</v>
      </c>
      <c r="U24" s="55">
        <f>AA24/AB24*100</f>
        <v>51.219512195121951</v>
      </c>
      <c r="V24" s="266"/>
      <c r="W24" s="266"/>
      <c r="X24" s="453" t="s">
        <v>34</v>
      </c>
      <c r="Y24" s="344">
        <v>37</v>
      </c>
      <c r="Z24" s="344">
        <v>3</v>
      </c>
      <c r="AA24" s="344">
        <v>42</v>
      </c>
      <c r="AB24" s="344">
        <f>SUM(Y24:AA24)</f>
        <v>82</v>
      </c>
      <c r="AC24" s="266"/>
      <c r="AD24" s="266"/>
    </row>
    <row r="25" spans="1:30" x14ac:dyDescent="0.2">
      <c r="B25" s="436" t="s">
        <v>35</v>
      </c>
      <c r="C25" s="55">
        <v>60.483870967741936</v>
      </c>
      <c r="D25" s="55">
        <f>J25/L25*100</f>
        <v>3.4782608695652173</v>
      </c>
      <c r="E25" s="17">
        <f>K25/L25*100</f>
        <v>31.304347826086961</v>
      </c>
      <c r="H25" s="436" t="s">
        <v>35</v>
      </c>
      <c r="I25" s="272">
        <v>75</v>
      </c>
      <c r="J25" s="272">
        <v>4</v>
      </c>
      <c r="K25" s="272">
        <v>36</v>
      </c>
      <c r="L25" s="272">
        <f>SUM(I25:K25)</f>
        <v>115</v>
      </c>
      <c r="Q25" s="266"/>
      <c r="R25" s="453" t="s">
        <v>35</v>
      </c>
      <c r="S25" s="55">
        <f>Y25/AB25*100</f>
        <v>72.674418604651152</v>
      </c>
      <c r="T25" s="55">
        <f>Z25/AB25*100</f>
        <v>2.3255813953488373</v>
      </c>
      <c r="U25" s="55">
        <f>AA25/AB25*100</f>
        <v>25</v>
      </c>
      <c r="V25" s="266"/>
      <c r="W25" s="266"/>
      <c r="X25" s="453" t="s">
        <v>35</v>
      </c>
      <c r="Y25" s="344">
        <v>125</v>
      </c>
      <c r="Z25" s="344">
        <v>4</v>
      </c>
      <c r="AA25" s="344">
        <v>43</v>
      </c>
      <c r="AB25" s="344">
        <f>SUM(Y25:AA25)</f>
        <v>172</v>
      </c>
      <c r="AC25" s="266"/>
      <c r="AD25" s="266"/>
    </row>
    <row r="26" spans="1:30" x14ac:dyDescent="0.2">
      <c r="Q26" s="266"/>
      <c r="R26" s="266"/>
      <c r="S26" s="266"/>
      <c r="T26" s="266"/>
      <c r="U26" s="266"/>
      <c r="V26" s="266"/>
      <c r="W26" s="266"/>
      <c r="X26" s="266"/>
      <c r="Y26" s="266"/>
      <c r="Z26" s="266"/>
      <c r="AA26" s="266"/>
      <c r="AB26" s="266"/>
      <c r="AC26" s="266"/>
      <c r="AD26" s="266"/>
    </row>
    <row r="27" spans="1:30" x14ac:dyDescent="0.2">
      <c r="Q27" s="266"/>
      <c r="R27" s="266"/>
      <c r="S27" s="266"/>
      <c r="T27" s="266"/>
      <c r="U27" s="266"/>
      <c r="V27" s="266"/>
      <c r="W27" s="266"/>
      <c r="X27" s="266"/>
      <c r="Y27" s="266"/>
      <c r="Z27" s="266"/>
      <c r="AA27" s="266"/>
      <c r="AB27" s="266"/>
      <c r="AC27" s="266"/>
      <c r="AD27" s="266"/>
    </row>
    <row r="28" spans="1:30" x14ac:dyDescent="0.2">
      <c r="A28" s="78"/>
      <c r="B28" s="9" t="s">
        <v>179</v>
      </c>
      <c r="C28" s="9"/>
      <c r="D28" s="9"/>
      <c r="E28" s="9"/>
      <c r="H28" s="143" t="s">
        <v>180</v>
      </c>
      <c r="M28" s="78"/>
      <c r="Q28" s="266"/>
      <c r="R28" s="254" t="s">
        <v>179</v>
      </c>
      <c r="S28" s="254"/>
      <c r="T28" s="254"/>
      <c r="U28" s="254"/>
      <c r="V28" s="266"/>
      <c r="W28" s="266"/>
      <c r="X28" s="267" t="s">
        <v>180</v>
      </c>
      <c r="Y28" s="267"/>
      <c r="Z28" s="266"/>
      <c r="AA28" s="266"/>
      <c r="AB28" s="266"/>
      <c r="AC28" s="266"/>
      <c r="AD28" s="266"/>
    </row>
    <row r="29" spans="1:30" x14ac:dyDescent="0.2">
      <c r="A29" s="78"/>
      <c r="C29" s="9"/>
      <c r="D29" s="9"/>
      <c r="E29" s="9"/>
      <c r="M29" s="78"/>
      <c r="Q29" s="266"/>
      <c r="R29" s="266"/>
      <c r="S29" s="254"/>
      <c r="T29" s="254"/>
      <c r="U29" s="254"/>
      <c r="V29" s="266"/>
      <c r="W29" s="266"/>
      <c r="X29" s="266"/>
      <c r="Y29" s="266"/>
      <c r="Z29" s="266"/>
      <c r="AA29" s="266"/>
      <c r="AB29" s="266"/>
      <c r="AC29" s="266"/>
      <c r="AD29" s="266"/>
    </row>
    <row r="30" spans="1:30" x14ac:dyDescent="0.2">
      <c r="B30" s="59" t="s">
        <v>3</v>
      </c>
      <c r="C30" s="268" t="s">
        <v>882</v>
      </c>
      <c r="D30" s="268" t="s">
        <v>883</v>
      </c>
      <c r="E30" s="268" t="s">
        <v>884</v>
      </c>
      <c r="H30" s="59" t="s">
        <v>3</v>
      </c>
      <c r="I30" s="268" t="s">
        <v>885</v>
      </c>
      <c r="J30" s="268" t="s">
        <v>886</v>
      </c>
      <c r="K30" s="268" t="s">
        <v>887</v>
      </c>
      <c r="L30" s="235" t="s">
        <v>336</v>
      </c>
      <c r="Q30" s="266"/>
      <c r="R30" s="269" t="s">
        <v>3</v>
      </c>
      <c r="S30" s="270" t="s">
        <v>882</v>
      </c>
      <c r="T30" s="270" t="s">
        <v>883</v>
      </c>
      <c r="U30" s="270" t="s">
        <v>884</v>
      </c>
      <c r="V30" s="266"/>
      <c r="W30" s="266"/>
      <c r="X30" s="269" t="s">
        <v>3</v>
      </c>
      <c r="Y30" s="270" t="s">
        <v>885</v>
      </c>
      <c r="Z30" s="270" t="s">
        <v>886</v>
      </c>
      <c r="AA30" s="270" t="s">
        <v>887</v>
      </c>
      <c r="AB30" s="271" t="s">
        <v>336</v>
      </c>
      <c r="AC30" s="266"/>
      <c r="AD30" s="266"/>
    </row>
    <row r="31" spans="1:30" x14ac:dyDescent="0.2">
      <c r="B31" s="436" t="s">
        <v>32</v>
      </c>
      <c r="C31" s="55">
        <f>I31/L31*100</f>
        <v>83.720930232558146</v>
      </c>
      <c r="D31" s="55">
        <f>J31/L31*100</f>
        <v>9.3023255813953494</v>
      </c>
      <c r="E31" s="55">
        <f>K31/L31*100</f>
        <v>6.9767441860465116</v>
      </c>
      <c r="H31" s="436" t="s">
        <v>32</v>
      </c>
      <c r="I31" s="272">
        <v>36</v>
      </c>
      <c r="J31" s="272">
        <v>4</v>
      </c>
      <c r="K31" s="272">
        <v>3</v>
      </c>
      <c r="L31" s="272">
        <f>SUM(I31:K31)</f>
        <v>43</v>
      </c>
      <c r="Q31" s="266"/>
      <c r="R31" s="453" t="s">
        <v>32</v>
      </c>
      <c r="S31" s="55">
        <f>Y31/AB31*100</f>
        <v>67.883211678832112</v>
      </c>
      <c r="T31" s="55">
        <f>Z31/AB31*100</f>
        <v>2.9197080291970803</v>
      </c>
      <c r="U31" s="55">
        <f>AA31/AB31*100</f>
        <v>29.197080291970799</v>
      </c>
      <c r="V31" s="266"/>
      <c r="W31" s="266"/>
      <c r="X31" s="453" t="s">
        <v>32</v>
      </c>
      <c r="Y31" s="344">
        <v>93</v>
      </c>
      <c r="Z31" s="272">
        <v>4</v>
      </c>
      <c r="AA31" s="272">
        <v>40</v>
      </c>
      <c r="AB31" s="272">
        <f>SUM(Y31:AA31)</f>
        <v>137</v>
      </c>
      <c r="AC31" s="266"/>
      <c r="AD31" s="266"/>
    </row>
    <row r="32" spans="1:30" x14ac:dyDescent="0.2">
      <c r="B32" s="436" t="s">
        <v>33</v>
      </c>
      <c r="C32" s="55">
        <f>I32/L32*100</f>
        <v>55.652173913043477</v>
      </c>
      <c r="D32" s="55">
        <f>J32/L32*100</f>
        <v>13.043478260869565</v>
      </c>
      <c r="E32" s="55">
        <f>K32/L32*100</f>
        <v>31.304347826086961</v>
      </c>
      <c r="H32" s="436" t="s">
        <v>33</v>
      </c>
      <c r="I32" s="272">
        <v>64</v>
      </c>
      <c r="J32" s="272">
        <v>15</v>
      </c>
      <c r="K32" s="272">
        <v>36</v>
      </c>
      <c r="L32" s="272">
        <f>SUM(I32:K32)</f>
        <v>115</v>
      </c>
      <c r="Q32" s="266"/>
      <c r="R32" s="453" t="s">
        <v>33</v>
      </c>
      <c r="S32" s="55">
        <f>Y32/AB32*100</f>
        <v>67.625899280575538</v>
      </c>
      <c r="T32" s="55">
        <f>Z32/AB32*100</f>
        <v>2.1582733812949639</v>
      </c>
      <c r="U32" s="55">
        <f>AA32/AB32*100</f>
        <v>30.215827338129497</v>
      </c>
      <c r="V32" s="266"/>
      <c r="W32" s="266"/>
      <c r="X32" s="453" t="s">
        <v>33</v>
      </c>
      <c r="Y32" s="344">
        <v>94</v>
      </c>
      <c r="Z32" s="272">
        <v>3</v>
      </c>
      <c r="AA32" s="272">
        <v>42</v>
      </c>
      <c r="AB32" s="272">
        <f>SUM(Y32:AA32)</f>
        <v>139</v>
      </c>
      <c r="AC32" s="266"/>
      <c r="AD32" s="266"/>
    </row>
    <row r="33" spans="1:30" x14ac:dyDescent="0.2">
      <c r="B33" s="436" t="s">
        <v>34</v>
      </c>
      <c r="C33" s="55">
        <f>I33/L33*100</f>
        <v>46.875</v>
      </c>
      <c r="D33" s="55">
        <f>J33/L33*100</f>
        <v>10.9375</v>
      </c>
      <c r="E33" s="55">
        <f>K33/L33*100</f>
        <v>42.1875</v>
      </c>
      <c r="H33" s="436" t="s">
        <v>34</v>
      </c>
      <c r="I33" s="272">
        <v>60</v>
      </c>
      <c r="J33" s="272">
        <v>14</v>
      </c>
      <c r="K33" s="272">
        <v>54</v>
      </c>
      <c r="L33" s="272">
        <f>SUM(I33:K33)</f>
        <v>128</v>
      </c>
      <c r="Q33" s="266"/>
      <c r="R33" s="453" t="s">
        <v>34</v>
      </c>
      <c r="S33" s="55">
        <f>Y33/AB33*100</f>
        <v>74.074074074074076</v>
      </c>
      <c r="T33" s="55">
        <f>Z33/AB33*100</f>
        <v>4.6296296296296298</v>
      </c>
      <c r="U33" s="55">
        <f>AA33/AB33*100</f>
        <v>21.296296296296298</v>
      </c>
      <c r="V33" s="266"/>
      <c r="W33" s="266"/>
      <c r="X33" s="453" t="s">
        <v>34</v>
      </c>
      <c r="Y33" s="344">
        <v>80</v>
      </c>
      <c r="Z33" s="272">
        <v>5</v>
      </c>
      <c r="AA33" s="272">
        <v>23</v>
      </c>
      <c r="AB33" s="272">
        <f>SUM(Y33:AA33)</f>
        <v>108</v>
      </c>
      <c r="AC33" s="266"/>
      <c r="AD33" s="266"/>
    </row>
    <row r="34" spans="1:30" x14ac:dyDescent="0.2">
      <c r="B34" s="436" t="s">
        <v>35</v>
      </c>
      <c r="C34" s="55">
        <f>I34/L34*100</f>
        <v>61.971830985915489</v>
      </c>
      <c r="D34" s="55">
        <f>J34/L34*100</f>
        <v>7.7464788732394361</v>
      </c>
      <c r="E34" s="55">
        <f>K34/L34*100</f>
        <v>30.281690140845068</v>
      </c>
      <c r="H34" s="436" t="s">
        <v>35</v>
      </c>
      <c r="I34" s="272">
        <v>88</v>
      </c>
      <c r="J34" s="272">
        <v>11</v>
      </c>
      <c r="K34" s="272">
        <v>43</v>
      </c>
      <c r="L34" s="272">
        <f>SUM(I34:K34)</f>
        <v>142</v>
      </c>
      <c r="Q34" s="266"/>
      <c r="R34" s="453" t="s">
        <v>35</v>
      </c>
      <c r="S34" s="55">
        <f>Y34/AB34*100</f>
        <v>57.792207792207797</v>
      </c>
      <c r="T34" s="55">
        <f>Z34/AB34*100</f>
        <v>2.5974025974025974</v>
      </c>
      <c r="U34" s="55">
        <f>AA34/AB34*100</f>
        <v>39.61038961038961</v>
      </c>
      <c r="V34" s="266"/>
      <c r="W34" s="266"/>
      <c r="X34" s="453" t="s">
        <v>35</v>
      </c>
      <c r="Y34" s="344">
        <v>89</v>
      </c>
      <c r="Z34" s="272">
        <v>4</v>
      </c>
      <c r="AA34" s="272">
        <v>61</v>
      </c>
      <c r="AB34" s="272">
        <f>SUM(Y34:AA34)</f>
        <v>154</v>
      </c>
      <c r="AC34" s="266"/>
      <c r="AD34" s="266"/>
    </row>
    <row r="35" spans="1:30" x14ac:dyDescent="0.2">
      <c r="Q35" s="266"/>
      <c r="R35" s="266"/>
      <c r="S35" s="266"/>
      <c r="T35" s="266"/>
      <c r="U35" s="266"/>
      <c r="V35" s="266"/>
      <c r="W35" s="266"/>
      <c r="X35" s="266"/>
      <c r="Y35" s="266"/>
      <c r="Z35" s="266"/>
      <c r="AA35" s="266"/>
      <c r="AB35" s="266"/>
      <c r="AC35" s="266"/>
      <c r="AD35" s="266"/>
    </row>
    <row r="36" spans="1:30" x14ac:dyDescent="0.2">
      <c r="Q36" s="266"/>
      <c r="R36" s="266"/>
      <c r="S36" s="266"/>
      <c r="T36" s="266"/>
      <c r="U36" s="266"/>
      <c r="V36" s="266"/>
      <c r="W36" s="266"/>
      <c r="X36" s="266"/>
      <c r="Y36" s="266"/>
      <c r="Z36" s="266"/>
      <c r="AA36" s="266"/>
      <c r="AB36" s="266"/>
      <c r="AC36" s="266"/>
      <c r="AD36" s="266"/>
    </row>
    <row r="37" spans="1:30" x14ac:dyDescent="0.2">
      <c r="B37" s="9" t="s">
        <v>179</v>
      </c>
      <c r="C37" s="9"/>
      <c r="D37" s="9"/>
      <c r="E37" s="9"/>
      <c r="H37" s="143" t="s">
        <v>180</v>
      </c>
      <c r="Q37" s="266"/>
      <c r="R37" s="254" t="s">
        <v>179</v>
      </c>
      <c r="S37" s="254"/>
      <c r="T37" s="254"/>
      <c r="U37" s="254"/>
      <c r="V37" s="266"/>
      <c r="W37" s="266"/>
      <c r="X37" s="267" t="s">
        <v>180</v>
      </c>
      <c r="Y37" s="267"/>
      <c r="Z37" s="266"/>
      <c r="AA37" s="266"/>
      <c r="AB37" s="266"/>
      <c r="AC37" s="266"/>
      <c r="AD37" s="266"/>
    </row>
    <row r="38" spans="1:30" x14ac:dyDescent="0.2">
      <c r="C38" s="9"/>
      <c r="D38" s="9"/>
      <c r="E38" s="9"/>
      <c r="Q38" s="266"/>
      <c r="R38" s="266"/>
      <c r="S38" s="254"/>
      <c r="T38" s="254"/>
      <c r="U38" s="254"/>
      <c r="V38" s="266"/>
      <c r="W38" s="266"/>
      <c r="X38" s="266"/>
      <c r="Y38" s="266"/>
      <c r="Z38" s="266"/>
      <c r="AA38" s="266"/>
      <c r="AB38" s="266"/>
      <c r="AC38" s="266"/>
      <c r="AD38" s="266"/>
    </row>
    <row r="39" spans="1:30" x14ac:dyDescent="0.2">
      <c r="A39" s="78"/>
      <c r="B39" s="59" t="s">
        <v>4</v>
      </c>
      <c r="C39" s="268" t="s">
        <v>882</v>
      </c>
      <c r="D39" s="268" t="s">
        <v>883</v>
      </c>
      <c r="E39" s="268" t="s">
        <v>884</v>
      </c>
      <c r="H39" s="59" t="s">
        <v>4</v>
      </c>
      <c r="I39" s="268" t="s">
        <v>885</v>
      </c>
      <c r="J39" s="268" t="s">
        <v>886</v>
      </c>
      <c r="K39" s="268" t="s">
        <v>887</v>
      </c>
      <c r="L39" s="235" t="s">
        <v>336</v>
      </c>
      <c r="Q39" s="266"/>
      <c r="R39" s="269" t="s">
        <v>4</v>
      </c>
      <c r="S39" s="270" t="s">
        <v>882</v>
      </c>
      <c r="T39" s="270" t="s">
        <v>883</v>
      </c>
      <c r="U39" s="270" t="s">
        <v>884</v>
      </c>
      <c r="V39" s="266"/>
      <c r="W39" s="266"/>
      <c r="X39" s="269" t="s">
        <v>4</v>
      </c>
      <c r="Y39" s="270" t="s">
        <v>885</v>
      </c>
      <c r="Z39" s="270" t="s">
        <v>886</v>
      </c>
      <c r="AA39" s="270" t="s">
        <v>887</v>
      </c>
      <c r="AB39" s="271" t="s">
        <v>336</v>
      </c>
      <c r="AC39" s="266"/>
      <c r="AD39" s="266"/>
    </row>
    <row r="40" spans="1:30" x14ac:dyDescent="0.2">
      <c r="B40" s="436" t="s">
        <v>32</v>
      </c>
      <c r="C40" s="55">
        <f>I40/L40*100</f>
        <v>51.249999999999993</v>
      </c>
      <c r="D40" s="55">
        <f>J40/L40*100</f>
        <v>15</v>
      </c>
      <c r="E40" s="55">
        <f>K40/L40*100</f>
        <v>33.75</v>
      </c>
      <c r="F40" s="9"/>
      <c r="H40" s="436" t="s">
        <v>32</v>
      </c>
      <c r="I40" s="272">
        <v>41</v>
      </c>
      <c r="J40" s="272">
        <v>12</v>
      </c>
      <c r="K40" s="272">
        <v>27</v>
      </c>
      <c r="L40" s="272">
        <f>SUM(I40:K40)</f>
        <v>80</v>
      </c>
      <c r="Q40" s="266"/>
      <c r="R40" s="453" t="s">
        <v>32</v>
      </c>
      <c r="S40" s="55">
        <f>Y40/AB40*100</f>
        <v>38.775510204081634</v>
      </c>
      <c r="T40" s="55">
        <f>Z40/AB40*100</f>
        <v>6.1224489795918364</v>
      </c>
      <c r="U40" s="55">
        <f>AA40/AB40*100</f>
        <v>55.102040816326522</v>
      </c>
      <c r="V40" s="254"/>
      <c r="W40" s="266"/>
      <c r="X40" s="453" t="s">
        <v>32</v>
      </c>
      <c r="Y40" s="344">
        <v>19</v>
      </c>
      <c r="Z40" s="344">
        <v>3</v>
      </c>
      <c r="AA40" s="272">
        <v>27</v>
      </c>
      <c r="AB40" s="272">
        <f>SUM(Y40:AA40)</f>
        <v>49</v>
      </c>
      <c r="AC40" s="266"/>
      <c r="AD40" s="266"/>
    </row>
    <row r="41" spans="1:30" x14ac:dyDescent="0.2">
      <c r="B41" s="436" t="s">
        <v>33</v>
      </c>
      <c r="C41" s="55">
        <f>I41/L41*100</f>
        <v>71.223021582733821</v>
      </c>
      <c r="D41" s="55">
        <f>J41/L41*100</f>
        <v>5.0359712230215825</v>
      </c>
      <c r="E41" s="55">
        <f>K41/L41*100</f>
        <v>23.741007194244602</v>
      </c>
      <c r="F41" s="9"/>
      <c r="H41" s="436" t="s">
        <v>33</v>
      </c>
      <c r="I41" s="272">
        <v>99</v>
      </c>
      <c r="J41" s="272">
        <v>7</v>
      </c>
      <c r="K41" s="272">
        <v>33</v>
      </c>
      <c r="L41" s="272">
        <f>SUM(I41:K41)</f>
        <v>139</v>
      </c>
      <c r="Q41" s="266"/>
      <c r="R41" s="453" t="s">
        <v>33</v>
      </c>
      <c r="S41" s="55">
        <f>Y41/AB41*100</f>
        <v>67.539267015706798</v>
      </c>
      <c r="T41" s="55">
        <f>Z41/AB41*100</f>
        <v>2.0942408376963351</v>
      </c>
      <c r="U41" s="55">
        <f>AA41/AB41*100</f>
        <v>30.366492146596858</v>
      </c>
      <c r="V41" s="254"/>
      <c r="W41" s="266"/>
      <c r="X41" s="453" t="s">
        <v>33</v>
      </c>
      <c r="Y41" s="344">
        <v>129</v>
      </c>
      <c r="Z41" s="344">
        <v>4</v>
      </c>
      <c r="AA41" s="272">
        <v>58</v>
      </c>
      <c r="AB41" s="272">
        <f>SUM(Y41:AA41)</f>
        <v>191</v>
      </c>
      <c r="AC41" s="266"/>
      <c r="AD41" s="266"/>
    </row>
    <row r="42" spans="1:30" x14ac:dyDescent="0.2">
      <c r="B42" s="436" t="s">
        <v>34</v>
      </c>
      <c r="C42" s="55">
        <f>I42/L42*100</f>
        <v>58.461538461538467</v>
      </c>
      <c r="D42" s="55">
        <f>J42/L42*100</f>
        <v>22.30769230769231</v>
      </c>
      <c r="E42" s="55">
        <f>K42/L42*100</f>
        <v>19.230769230769234</v>
      </c>
      <c r="F42" s="110"/>
      <c r="G42" s="110"/>
      <c r="H42" s="436" t="s">
        <v>34</v>
      </c>
      <c r="I42" s="272">
        <v>76</v>
      </c>
      <c r="J42" s="272">
        <v>29</v>
      </c>
      <c r="K42" s="272">
        <v>25</v>
      </c>
      <c r="L42" s="272">
        <f>SUM(I42:K42)</f>
        <v>130</v>
      </c>
      <c r="Q42" s="266"/>
      <c r="R42" s="453" t="s">
        <v>34</v>
      </c>
      <c r="S42" s="55">
        <f>Y42/AB42*100</f>
        <v>60.792951541850215</v>
      </c>
      <c r="T42" s="55">
        <f>Z42/AB42*100</f>
        <v>1.3215859030837005</v>
      </c>
      <c r="U42" s="55">
        <f>AA42/AB42*100</f>
        <v>37.885462555066077</v>
      </c>
      <c r="V42" s="248"/>
      <c r="W42" s="248"/>
      <c r="X42" s="453" t="s">
        <v>34</v>
      </c>
      <c r="Y42" s="344">
        <v>138</v>
      </c>
      <c r="Z42" s="344">
        <v>3</v>
      </c>
      <c r="AA42" s="272">
        <v>86</v>
      </c>
      <c r="AB42" s="272">
        <f>SUM(Y42:AA42)</f>
        <v>227</v>
      </c>
      <c r="AC42" s="266"/>
      <c r="AD42" s="266"/>
    </row>
    <row r="43" spans="1:30" x14ac:dyDescent="0.2">
      <c r="B43" s="436" t="s">
        <v>35</v>
      </c>
      <c r="C43" s="55">
        <f>I43/L43*100</f>
        <v>72.602739726027394</v>
      </c>
      <c r="D43" s="55">
        <f>J43/L43*100</f>
        <v>4.10958904109589</v>
      </c>
      <c r="E43" s="55">
        <f>K43/L43*100</f>
        <v>23.287671232876711</v>
      </c>
      <c r="F43" s="64"/>
      <c r="G43" s="64"/>
      <c r="H43" s="436" t="s">
        <v>35</v>
      </c>
      <c r="I43" s="272">
        <v>106</v>
      </c>
      <c r="J43" s="272">
        <v>6</v>
      </c>
      <c r="K43" s="272">
        <v>34</v>
      </c>
      <c r="L43" s="272">
        <f>SUM(I43:K43)</f>
        <v>146</v>
      </c>
      <c r="Q43" s="266"/>
      <c r="R43" s="453" t="s">
        <v>35</v>
      </c>
      <c r="S43" s="55">
        <f>Y43/AB43*100</f>
        <v>61.878453038674031</v>
      </c>
      <c r="T43" s="55">
        <f>Z43/AB43*100</f>
        <v>2.7624309392265194</v>
      </c>
      <c r="U43" s="55">
        <f>AA43/AB43*100</f>
        <v>35.359116022099442</v>
      </c>
      <c r="V43" s="254"/>
      <c r="W43" s="254"/>
      <c r="X43" s="453" t="s">
        <v>35</v>
      </c>
      <c r="Y43" s="344">
        <v>112</v>
      </c>
      <c r="Z43" s="344">
        <v>5</v>
      </c>
      <c r="AA43" s="272">
        <v>64</v>
      </c>
      <c r="AB43" s="272">
        <f>SUM(Y43:AA43)</f>
        <v>181</v>
      </c>
      <c r="AC43" s="266"/>
      <c r="AD43" s="266"/>
    </row>
    <row r="44" spans="1:30" x14ac:dyDescent="0.2">
      <c r="Q44" s="266"/>
      <c r="R44" s="266"/>
      <c r="S44" s="266"/>
      <c r="T44" s="266"/>
      <c r="U44" s="266"/>
      <c r="V44" s="266"/>
      <c r="W44" s="266"/>
      <c r="X44" s="266"/>
      <c r="Y44" s="266"/>
      <c r="Z44" s="266"/>
      <c r="AA44" s="266"/>
      <c r="AB44" s="266"/>
      <c r="AC44" s="266"/>
      <c r="AD44" s="266"/>
    </row>
    <row r="45" spans="1:30" x14ac:dyDescent="0.2">
      <c r="Q45" s="266"/>
      <c r="R45" s="266"/>
      <c r="S45" s="266"/>
      <c r="T45" s="266"/>
      <c r="U45" s="266"/>
      <c r="V45" s="266"/>
      <c r="W45" s="266"/>
      <c r="X45" s="266"/>
      <c r="Y45" s="266"/>
      <c r="Z45" s="266"/>
      <c r="AA45" s="266"/>
      <c r="AB45" s="266"/>
      <c r="AC45" s="266"/>
      <c r="AD45" s="266"/>
    </row>
    <row r="46" spans="1:30" x14ac:dyDescent="0.2">
      <c r="F46" s="64"/>
      <c r="H46" s="107" t="s">
        <v>338</v>
      </c>
      <c r="Q46" s="266"/>
      <c r="R46" s="266"/>
      <c r="S46" s="266"/>
      <c r="T46" s="266"/>
      <c r="U46" s="266"/>
      <c r="V46" s="254"/>
      <c r="W46" s="266"/>
      <c r="X46" s="267" t="s">
        <v>338</v>
      </c>
      <c r="Y46" s="266"/>
      <c r="Z46" s="266"/>
      <c r="AA46" s="266"/>
      <c r="AB46" s="266"/>
      <c r="AC46" s="266"/>
      <c r="AD46" s="266"/>
    </row>
    <row r="47" spans="1:30" x14ac:dyDescent="0.2">
      <c r="A47" s="68" t="s">
        <v>51</v>
      </c>
      <c r="B47" s="59" t="s">
        <v>1</v>
      </c>
      <c r="C47" s="17">
        <f>AVERAGE(C9:C16)</f>
        <v>5.5460171004988048</v>
      </c>
      <c r="D47" s="17">
        <f>AVERAGE(D9:D16)</f>
        <v>71.967446995991679</v>
      </c>
      <c r="E47" s="17">
        <f>AVERAGE(E9:E16)</f>
        <v>22.48653590350952</v>
      </c>
      <c r="F47" s="64"/>
      <c r="Q47" s="254" t="s">
        <v>51</v>
      </c>
      <c r="R47" s="269" t="s">
        <v>1</v>
      </c>
      <c r="S47" s="17">
        <f>AVERAGE(S9:S16)</f>
        <v>9.5822461503934449</v>
      </c>
      <c r="T47" s="17">
        <f>AVERAGE(T9:T16)</f>
        <v>81.205746862548366</v>
      </c>
      <c r="U47" s="17">
        <f>AVERAGE(U9:U16)</f>
        <v>9.2120069870581904</v>
      </c>
      <c r="V47" s="254"/>
      <c r="W47" s="266"/>
      <c r="X47" s="266"/>
      <c r="Y47" s="266"/>
      <c r="Z47" s="266"/>
      <c r="AA47" s="266"/>
      <c r="AB47" s="266"/>
      <c r="AC47" s="266"/>
      <c r="AD47" s="266"/>
    </row>
    <row r="48" spans="1:30" x14ac:dyDescent="0.2">
      <c r="B48" s="59" t="s">
        <v>2</v>
      </c>
      <c r="C48" s="17">
        <f>AVERAGE(C22:C25)</f>
        <v>63.890809011776753</v>
      </c>
      <c r="D48" s="17">
        <f>AVERAGE(D22:D25)</f>
        <v>17.018633540372669</v>
      </c>
      <c r="E48" s="17">
        <f>AVERAGE(E22:E25)</f>
        <v>19.669632903328555</v>
      </c>
      <c r="F48" s="232"/>
      <c r="H48" s="59"/>
      <c r="I48" s="268" t="s">
        <v>885</v>
      </c>
      <c r="J48" s="268" t="s">
        <v>886</v>
      </c>
      <c r="K48" s="268" t="s">
        <v>887</v>
      </c>
      <c r="L48" s="235" t="s">
        <v>336</v>
      </c>
      <c r="N48" s="107"/>
      <c r="Q48" s="266"/>
      <c r="R48" s="274" t="s">
        <v>2</v>
      </c>
      <c r="S48" s="17">
        <f>AVERAGE(S22:S25)</f>
        <v>64.785287019703219</v>
      </c>
      <c r="T48" s="17">
        <f>AVERAGE(T22:T25)</f>
        <v>2.5533435152072848</v>
      </c>
      <c r="U48" s="17">
        <f>AVERAGE(U22:U25)</f>
        <v>32.6613694650895</v>
      </c>
      <c r="V48" s="273"/>
      <c r="W48" s="266"/>
      <c r="X48" s="269"/>
      <c r="Y48" s="270" t="s">
        <v>885</v>
      </c>
      <c r="Z48" s="270" t="s">
        <v>886</v>
      </c>
      <c r="AA48" s="270" t="s">
        <v>887</v>
      </c>
      <c r="AB48" s="271" t="s">
        <v>336</v>
      </c>
      <c r="AC48" s="266"/>
      <c r="AD48" s="267"/>
    </row>
    <row r="49" spans="1:30" x14ac:dyDescent="0.2">
      <c r="B49" s="59" t="s">
        <v>3</v>
      </c>
      <c r="C49" s="17">
        <f>AVERAGE(C31:C34)</f>
        <v>62.054983782879276</v>
      </c>
      <c r="D49" s="17">
        <f>AVERAGE(D31:D34)</f>
        <v>10.257445678876088</v>
      </c>
      <c r="E49" s="17">
        <f>AVERAGE(E31:E34)</f>
        <v>27.687570538244636</v>
      </c>
      <c r="H49" s="59" t="s">
        <v>1</v>
      </c>
      <c r="I49" s="17">
        <f>SUM(I9:I16)</f>
        <v>53</v>
      </c>
      <c r="J49" s="17">
        <f>SUM(J9:J16)</f>
        <v>660</v>
      </c>
      <c r="K49" s="17">
        <f>SUM(K9:K16)</f>
        <v>238</v>
      </c>
      <c r="L49" s="17">
        <f>SUM(L9:L16)</f>
        <v>951</v>
      </c>
      <c r="N49" s="78"/>
      <c r="Q49" s="266"/>
      <c r="R49" s="274" t="s">
        <v>3</v>
      </c>
      <c r="S49" s="17">
        <f>AVERAGE(S31:S34)</f>
        <v>66.843848206422379</v>
      </c>
      <c r="T49" s="17">
        <f>AVERAGE(T31:T34)</f>
        <v>3.0762534093810676</v>
      </c>
      <c r="U49" s="17">
        <f>AVERAGE(U31:U34)</f>
        <v>30.079898384196547</v>
      </c>
      <c r="V49" s="266"/>
      <c r="W49" s="266"/>
      <c r="X49" s="269" t="s">
        <v>1</v>
      </c>
      <c r="Y49" s="275">
        <v>53</v>
      </c>
      <c r="Z49" s="275">
        <v>684</v>
      </c>
      <c r="AA49" s="275">
        <v>212</v>
      </c>
      <c r="AB49" s="275">
        <v>949</v>
      </c>
      <c r="AC49" s="266"/>
      <c r="AD49" s="266"/>
    </row>
    <row r="50" spans="1:30" x14ac:dyDescent="0.2">
      <c r="B50" s="59" t="s">
        <v>4</v>
      </c>
      <c r="C50" s="17">
        <f>AVERAGE(C40:C43)</f>
        <v>63.384324942574921</v>
      </c>
      <c r="D50" s="17">
        <f>AVERAGE(D40:D43)</f>
        <v>11.613313142952446</v>
      </c>
      <c r="E50" s="17">
        <f>AVERAGE(E40:E43)</f>
        <v>25.002361914472637</v>
      </c>
      <c r="H50" s="59" t="s">
        <v>2</v>
      </c>
      <c r="I50" s="17">
        <f>SUM(I22:I25)</f>
        <v>339</v>
      </c>
      <c r="J50" s="17">
        <f>SUM(J22:J25)</f>
        <v>105</v>
      </c>
      <c r="K50" s="17">
        <f>SUM(K22:K25)</f>
        <v>100</v>
      </c>
      <c r="L50" s="17">
        <f>SUM(L22:L25)</f>
        <v>544</v>
      </c>
      <c r="Q50" s="266"/>
      <c r="R50" s="274" t="s">
        <v>4</v>
      </c>
      <c r="S50" s="17">
        <f>AVERAGE(S40:S43)</f>
        <v>57.246545450078166</v>
      </c>
      <c r="T50" s="17">
        <f>AVERAGE(T40:T43)</f>
        <v>3.075176664899598</v>
      </c>
      <c r="U50" s="17">
        <f>AVERAGE(U40:U43)</f>
        <v>39.678277885022226</v>
      </c>
      <c r="V50" s="266"/>
      <c r="W50" s="266"/>
      <c r="X50" s="274" t="s">
        <v>2</v>
      </c>
      <c r="Y50" s="275">
        <v>339</v>
      </c>
      <c r="Z50" s="275">
        <v>87</v>
      </c>
      <c r="AA50" s="275">
        <v>104</v>
      </c>
      <c r="AB50" s="275">
        <v>530</v>
      </c>
      <c r="AC50" s="266"/>
      <c r="AD50" s="266"/>
    </row>
    <row r="51" spans="1:30" x14ac:dyDescent="0.2">
      <c r="H51" s="59" t="s">
        <v>3</v>
      </c>
      <c r="I51" s="17">
        <f>SUM(I31:I34)</f>
        <v>248</v>
      </c>
      <c r="J51" s="17">
        <f>SUM(J31:J34)</f>
        <v>44</v>
      </c>
      <c r="K51" s="17">
        <f>SUM(K31:K34)</f>
        <v>136</v>
      </c>
      <c r="L51" s="17">
        <f>SUM(L31:L34)</f>
        <v>428</v>
      </c>
      <c r="Q51" s="266"/>
      <c r="R51" s="266"/>
      <c r="V51" s="266"/>
      <c r="W51" s="266"/>
      <c r="X51" s="274" t="s">
        <v>3</v>
      </c>
      <c r="Y51" s="275">
        <v>266</v>
      </c>
      <c r="Z51" s="275">
        <v>44</v>
      </c>
      <c r="AA51" s="275">
        <v>132</v>
      </c>
      <c r="AB51" s="275">
        <v>442</v>
      </c>
      <c r="AC51" s="266"/>
      <c r="AD51" s="266"/>
    </row>
    <row r="52" spans="1:30" x14ac:dyDescent="0.2">
      <c r="H52" s="59" t="s">
        <v>4</v>
      </c>
      <c r="I52" s="17">
        <f>SUM(I40:I43)</f>
        <v>322</v>
      </c>
      <c r="J52" s="17">
        <f>SUM(J40:J43)</f>
        <v>54</v>
      </c>
      <c r="K52" s="17">
        <f>SUM(K40:K43)</f>
        <v>119</v>
      </c>
      <c r="L52" s="17">
        <f>SUM(L40:L43)</f>
        <v>495</v>
      </c>
      <c r="Q52" s="266"/>
      <c r="R52" s="266"/>
      <c r="V52" s="266"/>
      <c r="W52" s="266"/>
      <c r="X52" s="274" t="s">
        <v>4</v>
      </c>
      <c r="Y52" s="275">
        <v>302</v>
      </c>
      <c r="Z52" s="275">
        <v>53</v>
      </c>
      <c r="AA52" s="275">
        <v>124</v>
      </c>
      <c r="AB52" s="275">
        <v>479</v>
      </c>
      <c r="AC52" s="266"/>
      <c r="AD52" s="266"/>
    </row>
    <row r="53" spans="1:30" x14ac:dyDescent="0.2">
      <c r="A53" s="68" t="s">
        <v>13</v>
      </c>
      <c r="B53" s="59" t="s">
        <v>1</v>
      </c>
      <c r="C53" s="17">
        <f>STDEV(C9:C16)</f>
        <v>2.9735863664874298</v>
      </c>
      <c r="D53" s="17">
        <f t="shared" ref="D53:E53" si="8">STDEV(D9:D16)</f>
        <v>14.130652280570807</v>
      </c>
      <c r="E53" s="17">
        <f t="shared" si="8"/>
        <v>14.212684482377707</v>
      </c>
      <c r="O53" s="64"/>
      <c r="P53" s="64"/>
      <c r="Q53" s="254" t="s">
        <v>13</v>
      </c>
      <c r="R53" s="269" t="s">
        <v>1</v>
      </c>
      <c r="S53" s="17">
        <f>STDEV(S9:S16)</f>
        <v>7.4645312028687343</v>
      </c>
      <c r="T53" s="17">
        <f>STDEV(T9:T16)</f>
        <v>13.46668530590479</v>
      </c>
      <c r="U53" s="17">
        <f>STDEV(U9:U16)</f>
        <v>6.667178985531975</v>
      </c>
      <c r="V53" s="266"/>
      <c r="W53" s="266"/>
      <c r="X53" s="266"/>
      <c r="Y53" s="266"/>
      <c r="Z53" s="266"/>
      <c r="AA53" s="266"/>
      <c r="AB53" s="266"/>
      <c r="AC53" s="266"/>
      <c r="AD53" s="266"/>
    </row>
    <row r="54" spans="1:30" x14ac:dyDescent="0.2">
      <c r="B54" s="59" t="s">
        <v>2</v>
      </c>
      <c r="C54" s="17">
        <f>STDEV(C22:C25)</f>
        <v>2.5535683733072667</v>
      </c>
      <c r="D54" s="17">
        <f t="shared" ref="D54:E54" si="9">STDEV(D22:D25)</f>
        <v>16.218377308139139</v>
      </c>
      <c r="E54" s="17">
        <f t="shared" si="9"/>
        <v>10.520181468214385</v>
      </c>
      <c r="O54" s="78"/>
      <c r="P54" s="78"/>
      <c r="Q54" s="266"/>
      <c r="R54" s="274" t="s">
        <v>2</v>
      </c>
      <c r="S54" s="17">
        <f>STDEV(S22:S25)</f>
        <v>13.54366689970456</v>
      </c>
      <c r="T54" s="17">
        <f>STDEV(T22:T25)</f>
        <v>0.74391499496001756</v>
      </c>
      <c r="U54" s="17">
        <f>STDEV(U22:U25)</f>
        <v>12.846090101429354</v>
      </c>
      <c r="V54" s="266"/>
      <c r="W54" s="266"/>
      <c r="X54" s="266"/>
      <c r="Y54" s="266"/>
      <c r="Z54" s="266"/>
      <c r="AA54" s="266"/>
      <c r="AB54" s="266"/>
      <c r="AC54" s="266"/>
      <c r="AD54" s="266"/>
    </row>
    <row r="55" spans="1:30" x14ac:dyDescent="0.2">
      <c r="B55" s="59" t="s">
        <v>3</v>
      </c>
      <c r="C55" s="17">
        <f>STDEV(C31:C34)</f>
        <v>15.714621978969571</v>
      </c>
      <c r="D55" s="17">
        <f t="shared" ref="D55:E55" si="10">STDEV(D31:D34)</f>
        <v>2.2687485630650528</v>
      </c>
      <c r="E55" s="17">
        <f t="shared" si="10"/>
        <v>14.821120257358343</v>
      </c>
      <c r="Q55" s="266"/>
      <c r="R55" s="274" t="s">
        <v>3</v>
      </c>
      <c r="S55" s="17">
        <f>STDEV(S31:S34)</f>
        <v>6.7305334260088232</v>
      </c>
      <c r="T55" s="17">
        <f>STDEV(T31:T34)</f>
        <v>1.081583649067124</v>
      </c>
      <c r="U55" s="17">
        <f>STDEV(U31:U34)</f>
        <v>7.5006615956102687</v>
      </c>
      <c r="V55" s="266"/>
      <c r="W55" s="266"/>
      <c r="X55" s="266"/>
      <c r="Y55" s="266"/>
      <c r="Z55" s="266"/>
      <c r="AA55" s="266"/>
      <c r="AB55" s="266"/>
      <c r="AC55" s="266"/>
      <c r="AD55" s="266"/>
    </row>
    <row r="56" spans="1:30" x14ac:dyDescent="0.2">
      <c r="B56" s="59" t="s">
        <v>4</v>
      </c>
      <c r="C56" s="17">
        <f>STDEV(C40:C43)</f>
        <v>10.294011279802184</v>
      </c>
      <c r="D56" s="17">
        <f t="shared" ref="D56:E56" si="11">STDEV(D40:D43)</f>
        <v>8.6680773668940674</v>
      </c>
      <c r="E56" s="17">
        <f t="shared" si="11"/>
        <v>6.1742377139676394</v>
      </c>
      <c r="Q56" s="266"/>
      <c r="R56" s="274" t="s">
        <v>4</v>
      </c>
      <c r="S56" s="17">
        <f>STDEV(S40:S43)</f>
        <v>12.664265005169154</v>
      </c>
      <c r="T56" s="17">
        <f>STDEV(T40:T43)</f>
        <v>2.1151039458959291</v>
      </c>
      <c r="U56" s="17">
        <f>STDEV(U40:U43)</f>
        <v>10.746645408449886</v>
      </c>
      <c r="V56" s="266"/>
      <c r="W56" s="266"/>
      <c r="X56" s="266"/>
      <c r="Y56" s="266"/>
      <c r="Z56" s="266"/>
      <c r="AA56" s="266"/>
      <c r="AB56" s="266"/>
      <c r="AC56" s="266"/>
      <c r="AD56" s="266"/>
    </row>
    <row r="57" spans="1:30" x14ac:dyDescent="0.2">
      <c r="M57" s="47"/>
      <c r="Q57" s="266"/>
      <c r="R57" s="266"/>
      <c r="V57" s="266"/>
      <c r="W57" s="266"/>
      <c r="X57" s="266"/>
      <c r="Y57" s="266"/>
      <c r="Z57" s="266"/>
      <c r="AA57" s="266"/>
      <c r="AB57" s="266"/>
      <c r="AC57" s="179"/>
      <c r="AD57" s="266"/>
    </row>
    <row r="58" spans="1:30" x14ac:dyDescent="0.2">
      <c r="C58" s="9"/>
      <c r="D58" s="9"/>
      <c r="E58" s="9"/>
      <c r="F58" s="9"/>
      <c r="M58" s="47"/>
      <c r="Q58" s="266"/>
      <c r="R58" s="266"/>
      <c r="S58" s="9"/>
      <c r="T58" s="9"/>
      <c r="U58" s="9"/>
      <c r="V58" s="254"/>
      <c r="W58" s="266"/>
      <c r="X58" s="266"/>
      <c r="Y58" s="266"/>
      <c r="Z58" s="266"/>
      <c r="AA58" s="266"/>
      <c r="AB58" s="266"/>
      <c r="AC58" s="179"/>
      <c r="AD58" s="266"/>
    </row>
    <row r="59" spans="1:30" x14ac:dyDescent="0.2">
      <c r="A59" s="68" t="s">
        <v>14</v>
      </c>
      <c r="B59" s="59" t="s">
        <v>203</v>
      </c>
      <c r="C59" s="70">
        <f>C53/(8^0.5)</f>
        <v>1.051321542093564</v>
      </c>
      <c r="D59" s="70">
        <f>D53/(8^0.5)</f>
        <v>4.9959400250903849</v>
      </c>
      <c r="E59" s="70">
        <f>E53/(8^0.5)</f>
        <v>5.0249427881770456</v>
      </c>
      <c r="Q59" s="254" t="s">
        <v>14</v>
      </c>
      <c r="R59" s="269" t="s">
        <v>1</v>
      </c>
      <c r="S59" s="70">
        <f>S53/(8^0.5)</f>
        <v>2.6391103159635292</v>
      </c>
      <c r="T59" s="70">
        <f>T53/(8^0.5)</f>
        <v>4.7611922499552559</v>
      </c>
      <c r="U59" s="70">
        <f>U53/(8^0.5)</f>
        <v>2.3572037360270528</v>
      </c>
      <c r="V59" s="266"/>
      <c r="W59" s="266"/>
      <c r="X59" s="266"/>
      <c r="Y59" s="266"/>
      <c r="Z59" s="266"/>
      <c r="AA59" s="266"/>
      <c r="AB59" s="266"/>
      <c r="AC59" s="266"/>
      <c r="AD59" s="266"/>
    </row>
    <row r="60" spans="1:30" x14ac:dyDescent="0.2">
      <c r="B60" s="59" t="s">
        <v>2</v>
      </c>
      <c r="C60" s="70">
        <f t="shared" ref="C60:E62" si="12">C54/(4^0.5)</f>
        <v>1.2767841866536334</v>
      </c>
      <c r="D60" s="70">
        <f t="shared" si="12"/>
        <v>8.1091886540695697</v>
      </c>
      <c r="E60" s="70">
        <f t="shared" si="12"/>
        <v>5.2600907341071927</v>
      </c>
      <c r="Q60" s="266"/>
      <c r="R60" s="274" t="s">
        <v>2</v>
      </c>
      <c r="S60" s="70">
        <f t="shared" ref="S60:U62" si="13">S54/(4^0.5)</f>
        <v>6.7718334498522799</v>
      </c>
      <c r="T60" s="70">
        <f t="shared" si="13"/>
        <v>0.37195749748000878</v>
      </c>
      <c r="U60" s="70">
        <f t="shared" si="13"/>
        <v>6.423045050714677</v>
      </c>
      <c r="V60" s="266"/>
      <c r="W60" s="266"/>
      <c r="X60" s="266"/>
      <c r="Y60" s="266"/>
      <c r="Z60" s="266"/>
      <c r="AA60" s="266"/>
      <c r="AB60" s="266"/>
      <c r="AC60" s="266"/>
      <c r="AD60" s="266"/>
    </row>
    <row r="61" spans="1:30" x14ac:dyDescent="0.2">
      <c r="B61" s="59" t="s">
        <v>3</v>
      </c>
      <c r="C61" s="70">
        <f t="shared" si="12"/>
        <v>7.8573109894847857</v>
      </c>
      <c r="D61" s="70">
        <f t="shared" si="12"/>
        <v>1.1343742815325264</v>
      </c>
      <c r="E61" s="70">
        <f t="shared" si="12"/>
        <v>7.4105601286791716</v>
      </c>
      <c r="Q61" s="266"/>
      <c r="R61" s="274" t="s">
        <v>3</v>
      </c>
      <c r="S61" s="70">
        <f>S55/(4^0.5)</f>
        <v>3.3652667130044116</v>
      </c>
      <c r="T61" s="70">
        <f t="shared" si="13"/>
        <v>0.540791824533562</v>
      </c>
      <c r="U61" s="70">
        <f t="shared" si="13"/>
        <v>3.7503307978051343</v>
      </c>
      <c r="V61" s="266"/>
      <c r="W61" s="266"/>
      <c r="X61" s="266"/>
      <c r="Y61" s="266"/>
      <c r="Z61" s="266"/>
      <c r="AA61" s="266"/>
      <c r="AB61" s="266"/>
      <c r="AC61" s="266"/>
      <c r="AD61" s="266"/>
    </row>
    <row r="62" spans="1:30" x14ac:dyDescent="0.2">
      <c r="B62" s="59" t="s">
        <v>4</v>
      </c>
      <c r="C62" s="70">
        <f t="shared" si="12"/>
        <v>5.1470056399010922</v>
      </c>
      <c r="D62" s="70">
        <f t="shared" si="12"/>
        <v>4.3340386834470337</v>
      </c>
      <c r="E62" s="70">
        <f t="shared" si="12"/>
        <v>3.0871188569838197</v>
      </c>
      <c r="Q62" s="266"/>
      <c r="R62" s="274" t="s">
        <v>4</v>
      </c>
      <c r="S62" s="70">
        <f t="shared" si="13"/>
        <v>6.3321325025845772</v>
      </c>
      <c r="T62" s="70">
        <f t="shared" si="13"/>
        <v>1.0575519729479645</v>
      </c>
      <c r="U62" s="70">
        <f t="shared" si="13"/>
        <v>5.3733227042249432</v>
      </c>
      <c r="V62" s="266"/>
      <c r="W62" s="266"/>
      <c r="X62" s="266"/>
      <c r="Y62" s="266"/>
      <c r="Z62" s="266"/>
      <c r="AA62" s="266"/>
      <c r="AB62" s="266"/>
      <c r="AC62" s="266"/>
      <c r="AD62" s="266"/>
    </row>
    <row r="63" spans="1:30" x14ac:dyDescent="0.2">
      <c r="B63" s="21"/>
      <c r="C63" s="176"/>
      <c r="D63" s="176"/>
      <c r="E63" s="176"/>
      <c r="F63" s="66"/>
      <c r="Q63" s="266"/>
      <c r="R63" s="217"/>
      <c r="S63" s="276"/>
      <c r="T63" s="276"/>
      <c r="U63" s="276"/>
      <c r="V63" s="266"/>
      <c r="W63" s="266"/>
      <c r="X63" s="266"/>
      <c r="Y63" s="266"/>
      <c r="Z63" s="266"/>
      <c r="AA63" s="266"/>
      <c r="AB63" s="266"/>
      <c r="AC63" s="266"/>
      <c r="AD63" s="266"/>
    </row>
    <row r="65" spans="1:23" ht="18" x14ac:dyDescent="0.2">
      <c r="B65" s="19" t="s">
        <v>52</v>
      </c>
      <c r="C65" s="20"/>
      <c r="D65" s="20"/>
      <c r="E65" s="20"/>
      <c r="R65" s="19" t="s">
        <v>52</v>
      </c>
      <c r="S65" s="20"/>
      <c r="T65" s="20"/>
      <c r="U65" s="20"/>
      <c r="V65" s="20"/>
    </row>
    <row r="67" spans="1:23" x14ac:dyDescent="0.2">
      <c r="A67" s="243" t="s">
        <v>1047</v>
      </c>
      <c r="B67" s="15" t="s">
        <v>53</v>
      </c>
      <c r="Q67" s="243" t="s">
        <v>1049</v>
      </c>
      <c r="R67" s="15" t="s">
        <v>53</v>
      </c>
    </row>
    <row r="68" spans="1:23" x14ac:dyDescent="0.2">
      <c r="B68" s="2" t="s">
        <v>0</v>
      </c>
      <c r="D68" s="79"/>
      <c r="E68" s="46">
        <v>74.430000000000007</v>
      </c>
      <c r="R68" s="2" t="s">
        <v>0</v>
      </c>
      <c r="U68" s="46">
        <v>47.53</v>
      </c>
    </row>
    <row r="69" spans="1:23" x14ac:dyDescent="0.2">
      <c r="B69" s="2" t="s">
        <v>36</v>
      </c>
      <c r="D69" s="79"/>
      <c r="E69" s="46" t="s">
        <v>176</v>
      </c>
      <c r="R69" s="2" t="s">
        <v>36</v>
      </c>
      <c r="U69" s="46" t="s">
        <v>176</v>
      </c>
    </row>
    <row r="70" spans="1:23" x14ac:dyDescent="0.2">
      <c r="B70" s="2" t="s">
        <v>37</v>
      </c>
      <c r="E70" s="46" t="s">
        <v>10</v>
      </c>
      <c r="R70" s="2" t="s">
        <v>37</v>
      </c>
      <c r="U70" s="46" t="s">
        <v>10</v>
      </c>
    </row>
    <row r="71" spans="1:23" x14ac:dyDescent="0.2">
      <c r="B71" s="2" t="s">
        <v>54</v>
      </c>
      <c r="E71" s="46" t="s">
        <v>41</v>
      </c>
      <c r="R71" s="2" t="s">
        <v>54</v>
      </c>
      <c r="U71" s="46" t="s">
        <v>41</v>
      </c>
    </row>
    <row r="72" spans="1:23" x14ac:dyDescent="0.2">
      <c r="B72" s="2" t="s">
        <v>55</v>
      </c>
      <c r="E72" s="46">
        <v>0.93310000000000004</v>
      </c>
      <c r="R72" s="2" t="s">
        <v>55</v>
      </c>
      <c r="U72" s="46">
        <v>0.89910000000000001</v>
      </c>
    </row>
    <row r="74" spans="1:23" x14ac:dyDescent="0.2">
      <c r="B74" s="3" t="s">
        <v>44</v>
      </c>
      <c r="C74" s="47"/>
      <c r="D74" s="47"/>
      <c r="E74" s="47"/>
      <c r="F74" s="47"/>
      <c r="G74" s="47"/>
      <c r="R74" s="3" t="s">
        <v>44</v>
      </c>
      <c r="S74" s="47"/>
      <c r="T74" s="47"/>
      <c r="U74" s="47"/>
      <c r="V74" s="47"/>
      <c r="W74" s="47"/>
    </row>
    <row r="75" spans="1:23" x14ac:dyDescent="0.2">
      <c r="B75" s="47"/>
      <c r="C75" s="16" t="s">
        <v>45</v>
      </c>
      <c r="D75" s="16" t="s">
        <v>46</v>
      </c>
      <c r="E75" s="16" t="s">
        <v>47</v>
      </c>
      <c r="F75" s="16" t="s">
        <v>48</v>
      </c>
      <c r="G75" s="16" t="s">
        <v>5</v>
      </c>
      <c r="R75" s="47"/>
      <c r="S75" s="16" t="s">
        <v>45</v>
      </c>
      <c r="T75" s="16" t="s">
        <v>46</v>
      </c>
      <c r="U75" s="16" t="s">
        <v>47</v>
      </c>
      <c r="V75" s="16" t="s">
        <v>48</v>
      </c>
      <c r="W75" s="16" t="s">
        <v>5</v>
      </c>
    </row>
    <row r="76" spans="1:23" x14ac:dyDescent="0.2">
      <c r="B76" s="2" t="s">
        <v>6</v>
      </c>
      <c r="C76" s="1">
        <v>-58.34</v>
      </c>
      <c r="D76" s="1" t="s">
        <v>889</v>
      </c>
      <c r="E76" s="1" t="s">
        <v>41</v>
      </c>
      <c r="F76" s="1" t="s">
        <v>10</v>
      </c>
      <c r="G76" s="1" t="s">
        <v>176</v>
      </c>
      <c r="R76" s="2" t="s">
        <v>6</v>
      </c>
      <c r="S76" s="1">
        <v>-55.2</v>
      </c>
      <c r="T76" s="1" t="s">
        <v>898</v>
      </c>
      <c r="U76" s="1" t="s">
        <v>41</v>
      </c>
      <c r="V76" s="1" t="s">
        <v>10</v>
      </c>
      <c r="W76" s="1" t="s">
        <v>176</v>
      </c>
    </row>
    <row r="77" spans="1:23" x14ac:dyDescent="0.2">
      <c r="B77" s="2" t="s">
        <v>7</v>
      </c>
      <c r="C77" s="1">
        <v>-56.51</v>
      </c>
      <c r="D77" s="1" t="s">
        <v>890</v>
      </c>
      <c r="E77" s="1" t="s">
        <v>41</v>
      </c>
      <c r="F77" s="1" t="s">
        <v>10</v>
      </c>
      <c r="G77" s="1" t="s">
        <v>176</v>
      </c>
      <c r="R77" s="2" t="s">
        <v>7</v>
      </c>
      <c r="S77" s="1">
        <v>-57.26</v>
      </c>
      <c r="T77" s="1" t="s">
        <v>899</v>
      </c>
      <c r="U77" s="1" t="s">
        <v>41</v>
      </c>
      <c r="V77" s="1" t="s">
        <v>10</v>
      </c>
      <c r="W77" s="1" t="s">
        <v>176</v>
      </c>
    </row>
    <row r="78" spans="1:23" x14ac:dyDescent="0.2">
      <c r="B78" s="2" t="s">
        <v>8</v>
      </c>
      <c r="C78" s="1">
        <v>-57.84</v>
      </c>
      <c r="D78" s="1" t="s">
        <v>891</v>
      </c>
      <c r="E78" s="1" t="s">
        <v>41</v>
      </c>
      <c r="F78" s="1" t="s">
        <v>10</v>
      </c>
      <c r="G78" s="1" t="s">
        <v>176</v>
      </c>
      <c r="R78" s="2" t="s">
        <v>8</v>
      </c>
      <c r="S78" s="1">
        <v>-47.66</v>
      </c>
      <c r="T78" s="1" t="s">
        <v>900</v>
      </c>
      <c r="U78" s="1" t="s">
        <v>41</v>
      </c>
      <c r="V78" s="1" t="s">
        <v>10</v>
      </c>
      <c r="W78" s="1" t="s">
        <v>176</v>
      </c>
    </row>
    <row r="81" spans="1:23" x14ac:dyDescent="0.2">
      <c r="A81" s="243" t="s">
        <v>1048</v>
      </c>
      <c r="B81" s="15" t="s">
        <v>53</v>
      </c>
      <c r="Q81" s="243" t="s">
        <v>1050</v>
      </c>
      <c r="R81" s="15" t="s">
        <v>53</v>
      </c>
    </row>
    <row r="82" spans="1:23" x14ac:dyDescent="0.2">
      <c r="B82" s="2" t="s">
        <v>0</v>
      </c>
      <c r="E82" s="46">
        <v>36.94</v>
      </c>
      <c r="R82" s="2" t="s">
        <v>0</v>
      </c>
      <c r="U82" s="46">
        <v>121.9</v>
      </c>
    </row>
    <row r="83" spans="1:23" x14ac:dyDescent="0.2">
      <c r="B83" s="2" t="s">
        <v>36</v>
      </c>
      <c r="E83" s="46" t="s">
        <v>176</v>
      </c>
      <c r="R83" s="2" t="s">
        <v>36</v>
      </c>
      <c r="U83" s="46" t="s">
        <v>176</v>
      </c>
    </row>
    <row r="84" spans="1:23" x14ac:dyDescent="0.2">
      <c r="B84" s="2" t="s">
        <v>37</v>
      </c>
      <c r="E84" s="46" t="s">
        <v>10</v>
      </c>
      <c r="R84" s="2" t="s">
        <v>37</v>
      </c>
      <c r="U84" s="46" t="s">
        <v>10</v>
      </c>
    </row>
    <row r="85" spans="1:23" x14ac:dyDescent="0.2">
      <c r="B85" s="2" t="s">
        <v>54</v>
      </c>
      <c r="E85" s="46" t="s">
        <v>41</v>
      </c>
      <c r="R85" s="2" t="s">
        <v>54</v>
      </c>
      <c r="U85" s="46" t="s">
        <v>41</v>
      </c>
    </row>
    <row r="86" spans="1:23" x14ac:dyDescent="0.2">
      <c r="B86" s="2" t="s">
        <v>55</v>
      </c>
      <c r="E86" s="46">
        <v>0.87380000000000002</v>
      </c>
      <c r="R86" s="2" t="s">
        <v>55</v>
      </c>
      <c r="U86" s="46">
        <v>0.95809999999999995</v>
      </c>
    </row>
    <row r="88" spans="1:23" x14ac:dyDescent="0.2">
      <c r="B88" s="3" t="s">
        <v>44</v>
      </c>
      <c r="C88" s="47"/>
      <c r="D88" s="47"/>
      <c r="E88" s="47"/>
      <c r="F88" s="47"/>
      <c r="G88" s="47"/>
      <c r="R88" s="3" t="s">
        <v>44</v>
      </c>
      <c r="S88" s="47"/>
      <c r="T88" s="47"/>
      <c r="U88" s="47"/>
      <c r="V88" s="47"/>
      <c r="W88" s="47"/>
    </row>
    <row r="89" spans="1:23" x14ac:dyDescent="0.2">
      <c r="B89" s="47"/>
      <c r="C89" s="16" t="s">
        <v>45</v>
      </c>
      <c r="D89" s="16" t="s">
        <v>46</v>
      </c>
      <c r="E89" s="16" t="s">
        <v>47</v>
      </c>
      <c r="F89" s="16" t="s">
        <v>48</v>
      </c>
      <c r="G89" s="16" t="s">
        <v>5</v>
      </c>
      <c r="R89" s="47"/>
      <c r="S89" s="16" t="s">
        <v>45</v>
      </c>
      <c r="T89" s="16" t="s">
        <v>46</v>
      </c>
      <c r="U89" s="16" t="s">
        <v>47</v>
      </c>
      <c r="V89" s="16" t="s">
        <v>48</v>
      </c>
      <c r="W89" s="16" t="s">
        <v>5</v>
      </c>
    </row>
    <row r="90" spans="1:23" x14ac:dyDescent="0.2">
      <c r="B90" s="2" t="s">
        <v>6</v>
      </c>
      <c r="C90" s="1">
        <v>54.95</v>
      </c>
      <c r="D90" s="1" t="s">
        <v>892</v>
      </c>
      <c r="E90" s="1" t="s">
        <v>41</v>
      </c>
      <c r="F90" s="1" t="s">
        <v>10</v>
      </c>
      <c r="G90" s="1" t="s">
        <v>176</v>
      </c>
      <c r="R90" s="2" t="s">
        <v>6</v>
      </c>
      <c r="S90" s="1">
        <v>78.650000000000006</v>
      </c>
      <c r="T90" s="1" t="s">
        <v>901</v>
      </c>
      <c r="U90" s="1" t="s">
        <v>41</v>
      </c>
      <c r="V90" s="1" t="s">
        <v>10</v>
      </c>
      <c r="W90" s="1" t="s">
        <v>176</v>
      </c>
    </row>
    <row r="91" spans="1:23" x14ac:dyDescent="0.2">
      <c r="B91" s="2" t="s">
        <v>7</v>
      </c>
      <c r="C91" s="1">
        <v>61.71</v>
      </c>
      <c r="D91" s="1" t="s">
        <v>893</v>
      </c>
      <c r="E91" s="1" t="s">
        <v>41</v>
      </c>
      <c r="F91" s="1" t="s">
        <v>10</v>
      </c>
      <c r="G91" s="1" t="s">
        <v>176</v>
      </c>
      <c r="R91" s="2" t="s">
        <v>7</v>
      </c>
      <c r="S91" s="1">
        <v>78.13</v>
      </c>
      <c r="T91" s="1" t="s">
        <v>902</v>
      </c>
      <c r="U91" s="1" t="s">
        <v>41</v>
      </c>
      <c r="V91" s="1" t="s">
        <v>10</v>
      </c>
      <c r="W91" s="1" t="s">
        <v>176</v>
      </c>
    </row>
    <row r="92" spans="1:23" x14ac:dyDescent="0.2">
      <c r="B92" s="2" t="s">
        <v>8</v>
      </c>
      <c r="C92" s="1">
        <v>60.35</v>
      </c>
      <c r="D92" s="1" t="s">
        <v>894</v>
      </c>
      <c r="E92" s="1" t="s">
        <v>41</v>
      </c>
      <c r="F92" s="1" t="s">
        <v>10</v>
      </c>
      <c r="G92" s="1" t="s">
        <v>176</v>
      </c>
      <c r="R92" s="2" t="s">
        <v>8</v>
      </c>
      <c r="S92" s="1">
        <v>78.13</v>
      </c>
      <c r="T92" s="1" t="s">
        <v>902</v>
      </c>
      <c r="U92" s="1" t="s">
        <v>41</v>
      </c>
      <c r="V92" s="1" t="s">
        <v>10</v>
      </c>
      <c r="W92" s="1" t="s">
        <v>176</v>
      </c>
    </row>
    <row r="95" spans="1:23" x14ac:dyDescent="0.2">
      <c r="A95" s="243" t="s">
        <v>1044</v>
      </c>
      <c r="B95" s="15" t="s">
        <v>53</v>
      </c>
      <c r="Q95" s="243" t="s">
        <v>1045</v>
      </c>
      <c r="R95" s="15" t="s">
        <v>53</v>
      </c>
    </row>
    <row r="96" spans="1:23" x14ac:dyDescent="0.2">
      <c r="B96" s="2" t="s">
        <v>0</v>
      </c>
      <c r="E96" s="46">
        <v>0.30919999999999997</v>
      </c>
      <c r="R96" s="2" t="s">
        <v>0</v>
      </c>
      <c r="U96" s="46">
        <v>12.83</v>
      </c>
    </row>
    <row r="97" spans="2:23" x14ac:dyDescent="0.2">
      <c r="B97" s="2" t="s">
        <v>36</v>
      </c>
      <c r="E97" s="46">
        <v>0.81840000000000002</v>
      </c>
      <c r="R97" s="2" t="s">
        <v>36</v>
      </c>
      <c r="U97" s="46">
        <v>2.0000000000000001E-4</v>
      </c>
    </row>
    <row r="98" spans="2:23" x14ac:dyDescent="0.2">
      <c r="B98" s="2" t="s">
        <v>37</v>
      </c>
      <c r="E98" s="46" t="s">
        <v>9</v>
      </c>
      <c r="R98" s="2" t="s">
        <v>37</v>
      </c>
      <c r="U98" s="46" t="s">
        <v>10</v>
      </c>
    </row>
    <row r="99" spans="2:23" x14ac:dyDescent="0.2">
      <c r="B99" s="2" t="s">
        <v>54</v>
      </c>
      <c r="E99" s="46" t="s">
        <v>49</v>
      </c>
      <c r="R99" s="2" t="s">
        <v>54</v>
      </c>
      <c r="U99" s="46" t="s">
        <v>41</v>
      </c>
    </row>
    <row r="100" spans="2:23" x14ac:dyDescent="0.2">
      <c r="B100" s="2" t="s">
        <v>55</v>
      </c>
      <c r="E100" s="46">
        <v>5.4789999999999998E-2</v>
      </c>
      <c r="R100" s="2" t="s">
        <v>55</v>
      </c>
      <c r="U100" s="46">
        <v>0.70640000000000003</v>
      </c>
    </row>
    <row r="101" spans="2:23" x14ac:dyDescent="0.2">
      <c r="E101" s="95"/>
      <c r="U101" s="95"/>
    </row>
    <row r="102" spans="2:23" x14ac:dyDescent="0.2">
      <c r="B102" s="3" t="s">
        <v>44</v>
      </c>
      <c r="C102" s="47"/>
      <c r="D102" s="47"/>
      <c r="E102" s="47"/>
      <c r="F102" s="47"/>
      <c r="G102" s="47"/>
      <c r="R102" s="3" t="s">
        <v>44</v>
      </c>
      <c r="S102" s="47"/>
      <c r="T102" s="47"/>
      <c r="U102" s="47"/>
      <c r="V102" s="47"/>
      <c r="W102" s="47"/>
    </row>
    <row r="103" spans="2:23" x14ac:dyDescent="0.2">
      <c r="B103" s="47"/>
      <c r="C103" s="16" t="s">
        <v>45</v>
      </c>
      <c r="D103" s="16" t="s">
        <v>46</v>
      </c>
      <c r="E103" s="16" t="s">
        <v>47</v>
      </c>
      <c r="F103" s="16" t="s">
        <v>48</v>
      </c>
      <c r="G103" s="16" t="s">
        <v>5</v>
      </c>
      <c r="R103" s="47"/>
      <c r="S103" s="16" t="s">
        <v>45</v>
      </c>
      <c r="T103" s="16" t="s">
        <v>46</v>
      </c>
      <c r="U103" s="16" t="s">
        <v>47</v>
      </c>
      <c r="V103" s="16" t="s">
        <v>48</v>
      </c>
      <c r="W103" s="16" t="s">
        <v>5</v>
      </c>
    </row>
    <row r="104" spans="2:23" x14ac:dyDescent="0.2">
      <c r="B104" s="2" t="s">
        <v>6</v>
      </c>
      <c r="C104" s="1">
        <v>2.8170000000000002</v>
      </c>
      <c r="D104" s="1" t="s">
        <v>895</v>
      </c>
      <c r="E104" s="1" t="s">
        <v>49</v>
      </c>
      <c r="F104" s="1" t="s">
        <v>9</v>
      </c>
      <c r="G104" s="1">
        <v>0.97230000000000005</v>
      </c>
      <c r="R104" s="2" t="s">
        <v>6</v>
      </c>
      <c r="S104" s="1">
        <v>-23.45</v>
      </c>
      <c r="T104" s="1" t="s">
        <v>903</v>
      </c>
      <c r="U104" s="1" t="s">
        <v>41</v>
      </c>
      <c r="V104" s="1" t="s">
        <v>11</v>
      </c>
      <c r="W104" s="1">
        <v>1.9E-3</v>
      </c>
    </row>
    <row r="105" spans="2:23" x14ac:dyDescent="0.2">
      <c r="B105" s="2" t="s">
        <v>7</v>
      </c>
      <c r="C105" s="1">
        <v>-5.2009999999999996</v>
      </c>
      <c r="D105" s="1" t="s">
        <v>896</v>
      </c>
      <c r="E105" s="1" t="s">
        <v>49</v>
      </c>
      <c r="F105" s="1" t="s">
        <v>9</v>
      </c>
      <c r="G105" s="1">
        <v>0.85860000000000003</v>
      </c>
      <c r="R105" s="2" t="s">
        <v>7</v>
      </c>
      <c r="S105" s="1">
        <v>-20.87</v>
      </c>
      <c r="T105" s="1" t="s">
        <v>904</v>
      </c>
      <c r="U105" s="1" t="s">
        <v>41</v>
      </c>
      <c r="V105" s="1" t="s">
        <v>11</v>
      </c>
      <c r="W105" s="1">
        <v>5.0000000000000001E-3</v>
      </c>
    </row>
    <row r="106" spans="2:23" x14ac:dyDescent="0.2">
      <c r="B106" s="2" t="s">
        <v>8</v>
      </c>
      <c r="C106" s="1">
        <v>-2.516</v>
      </c>
      <c r="D106" s="1" t="s">
        <v>897</v>
      </c>
      <c r="E106" s="1" t="s">
        <v>49</v>
      </c>
      <c r="F106" s="1" t="s">
        <v>9</v>
      </c>
      <c r="G106" s="1">
        <v>0.97989999999999999</v>
      </c>
      <c r="R106" s="2" t="s">
        <v>8</v>
      </c>
      <c r="S106" s="1">
        <v>-30.47</v>
      </c>
      <c r="T106" s="1" t="s">
        <v>905</v>
      </c>
      <c r="U106" s="1" t="s">
        <v>41</v>
      </c>
      <c r="V106" s="1" t="s">
        <v>10</v>
      </c>
      <c r="W106" s="1">
        <v>2.0000000000000001E-4</v>
      </c>
    </row>
  </sheetData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Q37"/>
  <sheetViews>
    <sheetView workbookViewId="0">
      <selection activeCell="C42" sqref="C42"/>
    </sheetView>
  </sheetViews>
  <sheetFormatPr baseColWidth="10" defaultRowHeight="16" x14ac:dyDescent="0.2"/>
  <cols>
    <col min="3" max="3" width="19.6640625" customWidth="1"/>
    <col min="4" max="4" width="20.83203125" customWidth="1"/>
    <col min="5" max="5" width="14.5" customWidth="1"/>
    <col min="8" max="8" width="20" customWidth="1"/>
    <col min="9" max="9" width="21.1640625" customWidth="1"/>
    <col min="10" max="10" width="15.33203125" customWidth="1"/>
    <col min="13" max="13" width="18.1640625" customWidth="1"/>
    <col min="14" max="14" width="18.6640625" customWidth="1"/>
    <col min="15" max="15" width="13.6640625" customWidth="1"/>
    <col min="19" max="19" width="18.5" customWidth="1"/>
    <col min="20" max="20" width="19" customWidth="1"/>
    <col min="21" max="21" width="13.1640625" customWidth="1"/>
  </cols>
  <sheetData>
    <row r="1" spans="1:11" x14ac:dyDescent="0.2">
      <c r="A1" s="58"/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1" ht="18" x14ac:dyDescent="0.2">
      <c r="A2" s="53" t="s">
        <v>1165</v>
      </c>
      <c r="B2" s="8"/>
      <c r="C2" s="8"/>
      <c r="D2" s="58"/>
      <c r="E2" s="58"/>
      <c r="F2" s="58"/>
      <c r="G2" s="58"/>
      <c r="H2" s="58"/>
      <c r="I2" s="58"/>
      <c r="J2" s="58"/>
      <c r="K2" s="58"/>
    </row>
    <row r="3" spans="1:11" x14ac:dyDescent="0.2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</row>
    <row r="4" spans="1:11" ht="18" x14ac:dyDescent="0.2">
      <c r="A4" s="14" t="s">
        <v>411</v>
      </c>
      <c r="B4" s="8"/>
      <c r="C4" s="8"/>
      <c r="D4" s="8"/>
      <c r="E4" s="8"/>
      <c r="F4" s="58"/>
      <c r="G4" s="58"/>
      <c r="H4" s="58"/>
      <c r="I4" s="58"/>
      <c r="J4" s="58"/>
      <c r="K4" s="58"/>
    </row>
    <row r="5" spans="1:11" ht="18" x14ac:dyDescent="0.2">
      <c r="A5" s="93"/>
      <c r="B5" s="93"/>
      <c r="C5" s="93"/>
      <c r="D5" s="58"/>
      <c r="E5" s="58"/>
      <c r="F5" s="58"/>
      <c r="G5" s="58"/>
      <c r="H5" s="58"/>
      <c r="I5" s="58"/>
      <c r="J5" s="58"/>
      <c r="K5" s="58"/>
    </row>
    <row r="6" spans="1:11" x14ac:dyDescent="0.2">
      <c r="A6" s="58"/>
      <c r="B6" s="118"/>
      <c r="C6" s="58"/>
      <c r="D6" s="58"/>
      <c r="E6" s="58"/>
      <c r="F6" s="58"/>
      <c r="G6" s="58"/>
      <c r="H6" s="58"/>
      <c r="I6" s="58"/>
      <c r="J6" s="58"/>
      <c r="K6" s="58"/>
    </row>
    <row r="7" spans="1:11" x14ac:dyDescent="0.2">
      <c r="A7" s="58"/>
      <c r="B7" s="532" t="s">
        <v>203</v>
      </c>
      <c r="C7" s="533"/>
      <c r="D7" s="533"/>
      <c r="E7" s="534"/>
      <c r="F7" s="58"/>
      <c r="G7" s="532" t="s">
        <v>296</v>
      </c>
      <c r="H7" s="533"/>
      <c r="I7" s="533"/>
      <c r="J7" s="534"/>
      <c r="K7" s="58"/>
    </row>
    <row r="8" spans="1:11" x14ac:dyDescent="0.2">
      <c r="A8" s="58"/>
      <c r="B8" s="69" t="s">
        <v>412</v>
      </c>
      <c r="C8" s="69" t="s">
        <v>413</v>
      </c>
      <c r="D8" s="69" t="s">
        <v>414</v>
      </c>
      <c r="E8" s="69" t="s">
        <v>415</v>
      </c>
      <c r="F8" s="101"/>
      <c r="G8" s="69" t="s">
        <v>412</v>
      </c>
      <c r="H8" s="69" t="s">
        <v>413</v>
      </c>
      <c r="I8" s="69" t="s">
        <v>414</v>
      </c>
      <c r="J8" s="69" t="s">
        <v>415</v>
      </c>
      <c r="K8" s="58"/>
    </row>
    <row r="9" spans="1:11" x14ac:dyDescent="0.2">
      <c r="A9" s="58"/>
      <c r="B9" s="55">
        <v>3682</v>
      </c>
      <c r="C9" s="17">
        <v>58512</v>
      </c>
      <c r="D9" s="17">
        <v>92729</v>
      </c>
      <c r="E9" s="13">
        <f>C9/D9*100</f>
        <v>63.100001078411282</v>
      </c>
      <c r="F9" s="101"/>
      <c r="G9" s="17">
        <v>296</v>
      </c>
      <c r="H9" s="17">
        <v>301429</v>
      </c>
      <c r="I9" s="17">
        <v>458099</v>
      </c>
      <c r="J9" s="13">
        <f>H9/I9*100</f>
        <v>65.799969002333555</v>
      </c>
      <c r="K9" s="58"/>
    </row>
    <row r="10" spans="1:11" x14ac:dyDescent="0.2">
      <c r="A10" s="58"/>
      <c r="B10" s="55">
        <v>3833</v>
      </c>
      <c r="C10" s="17">
        <v>50947</v>
      </c>
      <c r="D10" s="17">
        <v>81777</v>
      </c>
      <c r="E10" s="13">
        <f>C10/D10*100</f>
        <v>62.299913178522083</v>
      </c>
      <c r="F10" s="101"/>
      <c r="G10" s="17">
        <v>365</v>
      </c>
      <c r="H10" s="17">
        <v>34956</v>
      </c>
      <c r="I10" s="17">
        <v>46055</v>
      </c>
      <c r="J10" s="13">
        <f>H10/I10*100</f>
        <v>75.900553685810451</v>
      </c>
      <c r="K10" s="58"/>
    </row>
    <row r="11" spans="1:11" x14ac:dyDescent="0.2">
      <c r="A11" s="58"/>
      <c r="B11" s="55">
        <v>1827</v>
      </c>
      <c r="C11" s="17">
        <v>390105</v>
      </c>
      <c r="D11" s="17">
        <v>519794</v>
      </c>
      <c r="E11" s="13">
        <f>C11/D11*100</f>
        <v>75.049923623589336</v>
      </c>
      <c r="F11" s="101"/>
      <c r="G11" s="17">
        <v>1316</v>
      </c>
      <c r="H11" s="17">
        <v>211615</v>
      </c>
      <c r="I11" s="17">
        <v>296379</v>
      </c>
      <c r="J11" s="13">
        <f>H11/I11*100</f>
        <v>71.400132937893716</v>
      </c>
      <c r="K11" s="58"/>
    </row>
    <row r="12" spans="1:11" x14ac:dyDescent="0.2">
      <c r="A12" s="58"/>
      <c r="B12" s="55">
        <v>2363</v>
      </c>
      <c r="C12" s="17">
        <v>22097</v>
      </c>
      <c r="D12" s="17">
        <v>31388</v>
      </c>
      <c r="E12" s="13">
        <f>C12/D12*100</f>
        <v>70.399515738498792</v>
      </c>
      <c r="F12" s="101"/>
      <c r="G12" s="17">
        <v>2467</v>
      </c>
      <c r="H12" s="17">
        <v>15091</v>
      </c>
      <c r="I12" s="17">
        <v>21077</v>
      </c>
      <c r="J12" s="13">
        <f>H12/I12*100</f>
        <v>71.59937372491342</v>
      </c>
      <c r="K12" s="58"/>
    </row>
    <row r="15" spans="1:11" ht="18" x14ac:dyDescent="0.2">
      <c r="B15" s="19" t="s">
        <v>52</v>
      </c>
      <c r="C15" s="20"/>
      <c r="D15" s="20"/>
      <c r="E15" s="20"/>
      <c r="F15" s="20"/>
      <c r="H15" s="120"/>
    </row>
    <row r="16" spans="1:11" x14ac:dyDescent="0.2">
      <c r="H16" s="120"/>
    </row>
    <row r="17" spans="2:17" x14ac:dyDescent="0.2">
      <c r="B17" s="3" t="s">
        <v>416</v>
      </c>
      <c r="C17" s="119"/>
      <c r="D17" s="119"/>
      <c r="E17" s="1"/>
      <c r="H17" s="120"/>
      <c r="K17" s="78"/>
    </row>
    <row r="18" spans="2:17" x14ac:dyDescent="0.2">
      <c r="B18" s="2" t="s">
        <v>36</v>
      </c>
      <c r="C18" s="119"/>
      <c r="D18" s="119"/>
      <c r="E18" s="46">
        <v>0.38390000000000002</v>
      </c>
      <c r="K18" s="78"/>
      <c r="Q18" s="78"/>
    </row>
    <row r="19" spans="2:17" x14ac:dyDescent="0.2">
      <c r="B19" s="2" t="s">
        <v>37</v>
      </c>
      <c r="C19" s="119"/>
      <c r="D19" s="119"/>
      <c r="E19" s="46" t="s">
        <v>9</v>
      </c>
      <c r="K19" s="78"/>
      <c r="Q19" s="78"/>
    </row>
    <row r="20" spans="2:17" x14ac:dyDescent="0.2">
      <c r="B20" s="2" t="s">
        <v>303</v>
      </c>
      <c r="C20" s="119"/>
      <c r="D20" s="119"/>
      <c r="E20" s="46" t="s">
        <v>49</v>
      </c>
      <c r="K20" s="78"/>
      <c r="Q20" s="78"/>
    </row>
    <row r="21" spans="2:17" x14ac:dyDescent="0.2">
      <c r="B21" s="2" t="s">
        <v>304</v>
      </c>
      <c r="C21" s="119"/>
      <c r="D21" s="119"/>
      <c r="E21" s="46" t="s">
        <v>305</v>
      </c>
      <c r="K21" s="78"/>
      <c r="Q21" s="78"/>
    </row>
    <row r="22" spans="2:17" x14ac:dyDescent="0.2">
      <c r="B22" s="2" t="s">
        <v>417</v>
      </c>
      <c r="C22" s="119"/>
      <c r="D22" s="119"/>
      <c r="E22" s="46" t="s">
        <v>418</v>
      </c>
    </row>
    <row r="23" spans="2:17" x14ac:dyDescent="0.2">
      <c r="B23" s="2"/>
      <c r="C23" s="119"/>
      <c r="D23" s="119"/>
      <c r="E23" s="46"/>
    </row>
    <row r="24" spans="2:17" x14ac:dyDescent="0.2">
      <c r="B24" s="2"/>
      <c r="C24" s="119"/>
      <c r="D24" s="119"/>
      <c r="E24" s="46"/>
    </row>
    <row r="25" spans="2:17" x14ac:dyDescent="0.2">
      <c r="B25" s="2"/>
      <c r="C25" s="119"/>
      <c r="D25" s="119"/>
      <c r="E25" s="46"/>
    </row>
    <row r="26" spans="2:17" x14ac:dyDescent="0.2">
      <c r="B26" s="2"/>
      <c r="C26" s="119"/>
      <c r="D26" s="119"/>
      <c r="E26" s="46"/>
    </row>
    <row r="27" spans="2:17" x14ac:dyDescent="0.2">
      <c r="B27" s="2"/>
      <c r="C27" s="119"/>
      <c r="D27" s="119"/>
      <c r="E27" s="46"/>
    </row>
    <row r="28" spans="2:17" x14ac:dyDescent="0.2">
      <c r="B28" s="2"/>
      <c r="C28" s="119"/>
      <c r="D28" s="119"/>
      <c r="E28" s="46"/>
    </row>
    <row r="29" spans="2:17" x14ac:dyDescent="0.2">
      <c r="B29" s="2"/>
      <c r="C29" s="119"/>
      <c r="D29" s="119"/>
      <c r="E29" s="46"/>
    </row>
    <row r="30" spans="2:17" x14ac:dyDescent="0.2">
      <c r="B30" s="2"/>
      <c r="C30" s="119"/>
      <c r="D30" s="119"/>
      <c r="E30" s="46"/>
    </row>
    <row r="31" spans="2:17" x14ac:dyDescent="0.2">
      <c r="B31" s="2"/>
      <c r="C31" s="119"/>
      <c r="D31" s="119"/>
      <c r="E31" s="46"/>
    </row>
    <row r="32" spans="2:17" x14ac:dyDescent="0.2">
      <c r="B32" s="2"/>
      <c r="C32" s="119"/>
      <c r="D32" s="119"/>
      <c r="E32" s="46"/>
    </row>
    <row r="33" spans="2:5" x14ac:dyDescent="0.2">
      <c r="B33" s="2"/>
      <c r="C33" s="119"/>
      <c r="D33" s="119"/>
      <c r="E33" s="46"/>
    </row>
    <row r="34" spans="2:5" x14ac:dyDescent="0.2">
      <c r="B34" s="2"/>
      <c r="C34" s="119"/>
      <c r="D34" s="119"/>
      <c r="E34" s="46"/>
    </row>
    <row r="35" spans="2:5" x14ac:dyDescent="0.2">
      <c r="B35" s="2"/>
      <c r="C35" s="119"/>
      <c r="D35" s="119"/>
      <c r="E35" s="46"/>
    </row>
    <row r="36" spans="2:5" x14ac:dyDescent="0.2">
      <c r="B36" s="120"/>
    </row>
    <row r="37" spans="2:5" x14ac:dyDescent="0.2">
      <c r="B37" s="120"/>
    </row>
  </sheetData>
  <mergeCells count="2">
    <mergeCell ref="B7:E7"/>
    <mergeCell ref="G7:J7"/>
  </mergeCells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2:E75"/>
  <sheetViews>
    <sheetView workbookViewId="0">
      <selection activeCell="A2" sqref="A2"/>
    </sheetView>
  </sheetViews>
  <sheetFormatPr baseColWidth="10" defaultRowHeight="16" x14ac:dyDescent="0.2"/>
  <cols>
    <col min="2" max="2" width="22.83203125" customWidth="1"/>
    <col min="4" max="4" width="13.6640625" bestFit="1" customWidth="1"/>
    <col min="5" max="5" width="11.6640625" bestFit="1" customWidth="1"/>
  </cols>
  <sheetData>
    <row r="2" spans="1:5" ht="18" x14ac:dyDescent="0.2">
      <c r="A2" s="53" t="s">
        <v>1166</v>
      </c>
      <c r="B2" s="121"/>
    </row>
    <row r="3" spans="1:5" ht="18" x14ac:dyDescent="0.2">
      <c r="A3" s="80"/>
      <c r="B3" s="66"/>
    </row>
    <row r="4" spans="1:5" ht="18" x14ac:dyDescent="0.2">
      <c r="A4" s="53" t="s">
        <v>921</v>
      </c>
      <c r="B4" s="121"/>
      <c r="C4" s="121"/>
      <c r="D4" s="121"/>
      <c r="E4" s="121"/>
    </row>
    <row r="6" spans="1:5" ht="18" x14ac:dyDescent="0.2">
      <c r="A6" s="14" t="s">
        <v>906</v>
      </c>
    </row>
    <row r="7" spans="1:5" x14ac:dyDescent="0.2">
      <c r="A7" s="9"/>
    </row>
    <row r="8" spans="1:5" x14ac:dyDescent="0.2">
      <c r="A8" s="9"/>
      <c r="B8" s="103" t="s">
        <v>907</v>
      </c>
      <c r="C8" s="22" t="s">
        <v>2</v>
      </c>
      <c r="D8" s="22" t="s">
        <v>3</v>
      </c>
      <c r="E8" s="22" t="s">
        <v>4</v>
      </c>
    </row>
    <row r="9" spans="1:5" x14ac:dyDescent="0.2">
      <c r="A9" s="9"/>
      <c r="B9" s="11" t="s">
        <v>32</v>
      </c>
      <c r="C9" s="4">
        <v>208.16174693592438</v>
      </c>
      <c r="D9" s="4">
        <v>117.80683036837166</v>
      </c>
      <c r="E9" s="4">
        <v>229.15454301788867</v>
      </c>
    </row>
    <row r="10" spans="1:5" x14ac:dyDescent="0.2">
      <c r="A10" s="9"/>
      <c r="B10" s="11" t="s">
        <v>33</v>
      </c>
      <c r="C10" s="4">
        <v>216.62036040328152</v>
      </c>
      <c r="D10" s="4">
        <v>36724.381308656273</v>
      </c>
      <c r="E10" s="4">
        <v>484.080009227174</v>
      </c>
    </row>
    <row r="11" spans="1:5" x14ac:dyDescent="0.2">
      <c r="A11" s="9"/>
      <c r="B11" s="11" t="s">
        <v>34</v>
      </c>
      <c r="C11" s="4">
        <v>0.64543809718194889</v>
      </c>
      <c r="D11" s="4">
        <v>23503.668339794418</v>
      </c>
      <c r="E11" s="4">
        <v>20.918762416191456</v>
      </c>
    </row>
    <row r="12" spans="1:5" x14ac:dyDescent="0.2">
      <c r="A12" s="9"/>
      <c r="B12" s="151"/>
      <c r="C12" s="9"/>
      <c r="D12" s="9"/>
      <c r="E12" s="9"/>
    </row>
    <row r="13" spans="1:5" x14ac:dyDescent="0.2">
      <c r="A13" s="9"/>
      <c r="B13" s="17" t="s">
        <v>51</v>
      </c>
      <c r="C13" s="17">
        <f>AVERAGE(C9:C11)</f>
        <v>141.80918181212931</v>
      </c>
      <c r="D13" s="17">
        <f>AVERAGE(D9:D11)</f>
        <v>20115.285492939685</v>
      </c>
      <c r="E13" s="17">
        <f>AVERAGE(E9:E11)</f>
        <v>244.71777155375139</v>
      </c>
    </row>
    <row r="14" spans="1:5" x14ac:dyDescent="0.2">
      <c r="A14" s="9"/>
      <c r="B14" s="17" t="s">
        <v>13</v>
      </c>
      <c r="C14" s="17">
        <f>STDEV(C9:C11)</f>
        <v>122.32452305307399</v>
      </c>
      <c r="D14" s="17">
        <f t="shared" ref="D14:E14" si="0">STDEV(D9:D11)</f>
        <v>18537.021807622023</v>
      </c>
      <c r="E14" s="17">
        <f t="shared" si="0"/>
        <v>231.97251065313881</v>
      </c>
    </row>
    <row r="15" spans="1:5" x14ac:dyDescent="0.2">
      <c r="A15" s="9"/>
      <c r="B15" s="17" t="s">
        <v>14</v>
      </c>
      <c r="C15" s="45">
        <f>C14/(3^0.5)</f>
        <v>70.62409631318485</v>
      </c>
      <c r="D15" s="45">
        <f>D14/(3^0.5)</f>
        <v>10702.354530604538</v>
      </c>
      <c r="E15" s="45">
        <f>E14/(3^0.5)</f>
        <v>133.92939147018302</v>
      </c>
    </row>
    <row r="16" spans="1:5" x14ac:dyDescent="0.2">
      <c r="A16" s="9"/>
    </row>
    <row r="17" spans="1:5" x14ac:dyDescent="0.2">
      <c r="A17" s="9"/>
    </row>
    <row r="18" spans="1:5" ht="18" x14ac:dyDescent="0.2">
      <c r="A18" s="14" t="s">
        <v>908</v>
      </c>
    </row>
    <row r="19" spans="1:5" x14ac:dyDescent="0.2">
      <c r="A19" s="9"/>
    </row>
    <row r="20" spans="1:5" x14ac:dyDescent="0.2">
      <c r="A20" s="9"/>
      <c r="B20" s="103" t="s">
        <v>907</v>
      </c>
      <c r="C20" s="22" t="s">
        <v>2</v>
      </c>
      <c r="D20" s="22" t="s">
        <v>3</v>
      </c>
      <c r="E20" s="22" t="s">
        <v>4</v>
      </c>
    </row>
    <row r="21" spans="1:5" x14ac:dyDescent="0.2">
      <c r="A21" s="9"/>
      <c r="B21" s="11" t="s">
        <v>32</v>
      </c>
      <c r="C21" s="4">
        <v>1.6559068847782352</v>
      </c>
      <c r="D21" s="4">
        <v>25.570034000912045</v>
      </c>
      <c r="E21" s="4">
        <v>2.4570389229978327</v>
      </c>
    </row>
    <row r="22" spans="1:5" x14ac:dyDescent="0.2">
      <c r="A22" s="9"/>
      <c r="B22" s="11" t="s">
        <v>33</v>
      </c>
      <c r="C22" s="4">
        <v>1.8188997924335577</v>
      </c>
      <c r="D22" s="4">
        <v>3.8521004517434259</v>
      </c>
      <c r="E22" s="4">
        <v>1.7232819427675756</v>
      </c>
    </row>
    <row r="23" spans="1:5" x14ac:dyDescent="0.2">
      <c r="A23" s="9"/>
      <c r="B23" s="11" t="s">
        <v>34</v>
      </c>
      <c r="C23" s="4">
        <v>1.6860283395257716</v>
      </c>
      <c r="D23" s="4">
        <v>21.907474667814636</v>
      </c>
      <c r="E23" s="4">
        <v>3.2265215950108144</v>
      </c>
    </row>
    <row r="24" spans="1:5" x14ac:dyDescent="0.2">
      <c r="A24" s="9"/>
      <c r="B24" s="151"/>
      <c r="C24" s="9"/>
      <c r="D24" s="9"/>
      <c r="E24" s="9"/>
    </row>
    <row r="25" spans="1:5" x14ac:dyDescent="0.2">
      <c r="A25" s="9"/>
      <c r="B25" s="17" t="s">
        <v>51</v>
      </c>
      <c r="C25" s="17">
        <f>AVERAGE(C21:C23)</f>
        <v>1.7202783389125216</v>
      </c>
      <c r="D25" s="17">
        <f>AVERAGE(D21:D23)</f>
        <v>17.109869706823371</v>
      </c>
      <c r="E25" s="17">
        <f>AVERAGE(E21:E23)</f>
        <v>2.4689474869254071</v>
      </c>
    </row>
    <row r="26" spans="1:5" x14ac:dyDescent="0.2">
      <c r="A26" s="9"/>
      <c r="B26" s="17" t="s">
        <v>13</v>
      </c>
      <c r="C26" s="17">
        <f>STDEV(C21:C23)</f>
        <v>8.6726402150546972E-2</v>
      </c>
      <c r="D26" s="17">
        <f t="shared" ref="D26:E26" si="1">STDEV(D21:D23)</f>
        <v>11.626689960294891</v>
      </c>
      <c r="E26" s="17">
        <f t="shared" si="1"/>
        <v>0.75169057692657593</v>
      </c>
    </row>
    <row r="27" spans="1:5" x14ac:dyDescent="0.2">
      <c r="A27" s="9"/>
      <c r="B27" s="17" t="s">
        <v>14</v>
      </c>
      <c r="C27" s="45">
        <f>C26/(3^0.5)</f>
        <v>5.0071511627466037E-2</v>
      </c>
      <c r="D27" s="45">
        <f>D26/(3^0.5)</f>
        <v>6.712672578360575</v>
      </c>
      <c r="E27" s="45">
        <f>E26/(3^0.5)</f>
        <v>0.43398875693586375</v>
      </c>
    </row>
    <row r="30" spans="1:5" ht="18" x14ac:dyDescent="0.2">
      <c r="A30" s="14" t="s">
        <v>909</v>
      </c>
    </row>
    <row r="31" spans="1:5" x14ac:dyDescent="0.2">
      <c r="A31" s="9"/>
    </row>
    <row r="32" spans="1:5" x14ac:dyDescent="0.2">
      <c r="A32" s="9"/>
      <c r="B32" s="103" t="s">
        <v>907</v>
      </c>
      <c r="C32" s="22" t="s">
        <v>2</v>
      </c>
      <c r="D32" s="22" t="s">
        <v>3</v>
      </c>
      <c r="E32" s="22" t="s">
        <v>4</v>
      </c>
    </row>
    <row r="33" spans="1:5" x14ac:dyDescent="0.2">
      <c r="A33" s="9"/>
      <c r="B33" s="11" t="s">
        <v>32</v>
      </c>
      <c r="C33" s="4">
        <v>3.088835493896815</v>
      </c>
      <c r="D33" s="4">
        <v>1717.8943906751415</v>
      </c>
      <c r="E33" s="4">
        <v>86.370519885578247</v>
      </c>
    </row>
    <row r="34" spans="1:5" x14ac:dyDescent="0.2">
      <c r="A34" s="9"/>
      <c r="B34" s="11" t="s">
        <v>33</v>
      </c>
      <c r="C34" s="4">
        <v>1.8337792235912109</v>
      </c>
      <c r="D34" s="4">
        <v>1221.7605963621932</v>
      </c>
      <c r="E34" s="4">
        <v>106.06884009867237</v>
      </c>
    </row>
    <row r="35" spans="1:5" x14ac:dyDescent="0.2">
      <c r="A35" s="9"/>
      <c r="B35" s="11" t="s">
        <v>34</v>
      </c>
      <c r="C35" s="4">
        <v>0.57944872452552032</v>
      </c>
      <c r="D35" s="4">
        <v>575.92400057502311</v>
      </c>
      <c r="E35" s="4">
        <v>473.41630783237315</v>
      </c>
    </row>
    <row r="36" spans="1:5" x14ac:dyDescent="0.2">
      <c r="A36" s="9"/>
      <c r="B36" s="151"/>
      <c r="C36" s="9"/>
      <c r="D36" s="9"/>
      <c r="E36" s="9"/>
    </row>
    <row r="37" spans="1:5" x14ac:dyDescent="0.2">
      <c r="A37" s="9"/>
      <c r="B37" s="17" t="s">
        <v>51</v>
      </c>
      <c r="C37" s="17">
        <f>AVERAGE(C33:C35)</f>
        <v>1.8340211473378487</v>
      </c>
      <c r="D37" s="17">
        <f>AVERAGE(D33:D35)</f>
        <v>1171.8596625374526</v>
      </c>
      <c r="E37" s="17">
        <f>AVERAGE(E33:E35)</f>
        <v>221.95188927220792</v>
      </c>
    </row>
    <row r="38" spans="1:5" x14ac:dyDescent="0.2">
      <c r="A38" s="9"/>
      <c r="B38" s="17" t="s">
        <v>13</v>
      </c>
      <c r="C38" s="17">
        <f>STDEV(C33:C35)</f>
        <v>1.2546934021780978</v>
      </c>
      <c r="D38" s="17">
        <f t="shared" ref="D38:E38" si="2">STDEV(D33:D35)</f>
        <v>572.61825884596942</v>
      </c>
      <c r="E38" s="17">
        <f t="shared" si="2"/>
        <v>217.99718187663774</v>
      </c>
    </row>
    <row r="39" spans="1:5" x14ac:dyDescent="0.2">
      <c r="A39" s="9"/>
      <c r="B39" s="17" t="s">
        <v>14</v>
      </c>
      <c r="C39" s="45">
        <f>C38/(3^0.5)</f>
        <v>0.72439757349797218</v>
      </c>
      <c r="D39" s="45">
        <f>D38/(3^0.5)</f>
        <v>330.6013058876153</v>
      </c>
      <c r="E39" s="45">
        <f>E38/(3^0.5)</f>
        <v>125.86073163905661</v>
      </c>
    </row>
    <row r="42" spans="1:5" ht="18" x14ac:dyDescent="0.2">
      <c r="A42" s="14" t="s">
        <v>910</v>
      </c>
    </row>
    <row r="43" spans="1:5" x14ac:dyDescent="0.2">
      <c r="A43" s="9"/>
    </row>
    <row r="44" spans="1:5" x14ac:dyDescent="0.2">
      <c r="A44" s="9"/>
      <c r="B44" s="103" t="s">
        <v>907</v>
      </c>
      <c r="C44" s="22" t="s">
        <v>2</v>
      </c>
      <c r="D44" s="22" t="s">
        <v>3</v>
      </c>
      <c r="E44" s="22" t="s">
        <v>4</v>
      </c>
    </row>
    <row r="45" spans="1:5" x14ac:dyDescent="0.2">
      <c r="A45" s="9"/>
      <c r="B45" s="11" t="s">
        <v>32</v>
      </c>
      <c r="C45" s="4">
        <v>2.6223762351163495</v>
      </c>
      <c r="D45" s="4">
        <v>3.4006993769217089</v>
      </c>
      <c r="E45" s="4">
        <v>2.7469117953673972</v>
      </c>
    </row>
    <row r="46" spans="1:5" x14ac:dyDescent="0.2">
      <c r="A46" s="9"/>
      <c r="B46" s="11" t="s">
        <v>33</v>
      </c>
      <c r="C46" s="4">
        <v>2.3026944247969809</v>
      </c>
      <c r="D46" s="4">
        <v>1.0948285777658471</v>
      </c>
      <c r="E46" s="4">
        <v>11.845071874835499</v>
      </c>
    </row>
    <row r="47" spans="1:5" x14ac:dyDescent="0.2">
      <c r="A47" s="9"/>
      <c r="B47" s="11" t="s">
        <v>34</v>
      </c>
      <c r="C47" s="4">
        <v>3.3331443877541593</v>
      </c>
      <c r="D47" s="4">
        <v>0</v>
      </c>
      <c r="E47" s="4">
        <v>2.887296295942793</v>
      </c>
    </row>
    <row r="48" spans="1:5" x14ac:dyDescent="0.2">
      <c r="A48" s="9"/>
      <c r="B48" s="151"/>
      <c r="C48" s="9"/>
      <c r="D48" s="9"/>
      <c r="E48" s="9"/>
    </row>
    <row r="49" spans="1:5" x14ac:dyDescent="0.2">
      <c r="A49" s="9"/>
      <c r="B49" s="17" t="s">
        <v>51</v>
      </c>
      <c r="C49" s="17">
        <f>AVERAGE(C45:C47)</f>
        <v>2.752738349222497</v>
      </c>
      <c r="D49" s="17">
        <f>AVERAGE(D45:D47)</f>
        <v>1.4985093182291853</v>
      </c>
      <c r="E49" s="17">
        <f>AVERAGE(E45:E47)</f>
        <v>5.8264266553818969</v>
      </c>
    </row>
    <row r="50" spans="1:5" x14ac:dyDescent="0.2">
      <c r="A50" s="9"/>
      <c r="B50" s="17" t="s">
        <v>13</v>
      </c>
      <c r="C50" s="17">
        <f>STDEV(C45:C47)</f>
        <v>0.52744904221666622</v>
      </c>
      <c r="D50" s="17">
        <f t="shared" ref="D50:E50" si="3">STDEV(D45:D47)</f>
        <v>1.7359169531445611</v>
      </c>
      <c r="E50" s="17">
        <f t="shared" si="3"/>
        <v>5.2127722624568227</v>
      </c>
    </row>
    <row r="51" spans="1:5" x14ac:dyDescent="0.2">
      <c r="A51" s="9"/>
      <c r="B51" s="17" t="s">
        <v>14</v>
      </c>
      <c r="C51" s="45">
        <f>C50/(3^0.5)</f>
        <v>0.30452284650760253</v>
      </c>
      <c r="D51" s="45">
        <f>D50/(3^0.5)</f>
        <v>1.0022321201888473</v>
      </c>
      <c r="E51" s="45">
        <f>E50/(3^0.5)</f>
        <v>3.0095954689536613</v>
      </c>
    </row>
    <row r="54" spans="1:5" ht="18" x14ac:dyDescent="0.2">
      <c r="A54" s="14" t="s">
        <v>911</v>
      </c>
    </row>
    <row r="55" spans="1:5" x14ac:dyDescent="0.2">
      <c r="A55" s="9"/>
    </row>
    <row r="56" spans="1:5" x14ac:dyDescent="0.2">
      <c r="A56" s="9"/>
      <c r="B56" s="103" t="s">
        <v>907</v>
      </c>
      <c r="C56" s="22" t="s">
        <v>2</v>
      </c>
      <c r="D56" s="22" t="s">
        <v>3</v>
      </c>
      <c r="E56" s="22" t="s">
        <v>4</v>
      </c>
    </row>
    <row r="57" spans="1:5" x14ac:dyDescent="0.2">
      <c r="A57" s="9"/>
      <c r="B57" s="11" t="s">
        <v>32</v>
      </c>
      <c r="C57" s="4">
        <v>18.900125606857358</v>
      </c>
      <c r="D57" s="4">
        <v>96.182811481059332</v>
      </c>
      <c r="E57" s="4">
        <v>95.692202067355367</v>
      </c>
    </row>
    <row r="58" spans="1:5" x14ac:dyDescent="0.2">
      <c r="A58" s="9"/>
      <c r="B58" s="11" t="s">
        <v>33</v>
      </c>
      <c r="C58" s="4">
        <v>13.732818169405572</v>
      </c>
      <c r="D58" s="4">
        <v>136.94357898726958</v>
      </c>
      <c r="E58" s="4">
        <v>64.460100627778445</v>
      </c>
    </row>
    <row r="59" spans="1:5" x14ac:dyDescent="0.2">
      <c r="A59" s="9"/>
      <c r="B59" s="11" t="s">
        <v>34</v>
      </c>
      <c r="C59" s="4">
        <v>18.790817325407083</v>
      </c>
      <c r="D59" s="4">
        <v>104.4057136389284</v>
      </c>
      <c r="E59" s="4">
        <v>72.692610239714625</v>
      </c>
    </row>
    <row r="60" spans="1:5" x14ac:dyDescent="0.2">
      <c r="A60" s="9"/>
      <c r="B60" s="151"/>
      <c r="C60" s="9"/>
      <c r="D60" s="9"/>
      <c r="E60" s="9"/>
    </row>
    <row r="61" spans="1:5" x14ac:dyDescent="0.2">
      <c r="A61" s="9"/>
      <c r="B61" s="17" t="s">
        <v>51</v>
      </c>
      <c r="C61" s="17">
        <f>AVERAGE(C57:C59)</f>
        <v>17.141253700556671</v>
      </c>
      <c r="D61" s="17">
        <f>AVERAGE(D57:D59)</f>
        <v>112.51070136908577</v>
      </c>
      <c r="E61" s="17">
        <f>AVERAGE(E57:E59)</f>
        <v>77.614970978282813</v>
      </c>
    </row>
    <row r="62" spans="1:5" x14ac:dyDescent="0.2">
      <c r="A62" s="9"/>
      <c r="B62" s="17" t="s">
        <v>13</v>
      </c>
      <c r="C62" s="17">
        <f>STDEV(C57:C59)</f>
        <v>2.9522976903774945</v>
      </c>
      <c r="D62" s="17">
        <f t="shared" ref="D62:E62" si="4">STDEV(D57:D59)</f>
        <v>21.555235129854953</v>
      </c>
      <c r="E62" s="17">
        <f t="shared" si="4"/>
        <v>16.187441629654007</v>
      </c>
    </row>
    <row r="63" spans="1:5" x14ac:dyDescent="0.2">
      <c r="A63" s="9"/>
      <c r="B63" s="17" t="s">
        <v>14</v>
      </c>
      <c r="C63" s="45">
        <f>C62/(3^0.5)</f>
        <v>1.704509866267357</v>
      </c>
      <c r="D63" s="45">
        <f>D62/(3^0.5)</f>
        <v>12.444920804667436</v>
      </c>
      <c r="E63" s="45">
        <f>E62/(3^0.5)</f>
        <v>9.3458237823720953</v>
      </c>
    </row>
    <row r="66" spans="1:5" ht="18" x14ac:dyDescent="0.2">
      <c r="A66" s="14" t="s">
        <v>912</v>
      </c>
    </row>
    <row r="67" spans="1:5" x14ac:dyDescent="0.2">
      <c r="A67" s="9"/>
    </row>
    <row r="68" spans="1:5" x14ac:dyDescent="0.2">
      <c r="A68" s="9"/>
      <c r="B68" s="103" t="s">
        <v>907</v>
      </c>
      <c r="C68" s="22" t="s">
        <v>2</v>
      </c>
      <c r="D68" s="22" t="s">
        <v>3</v>
      </c>
      <c r="E68" s="22" t="s">
        <v>4</v>
      </c>
    </row>
    <row r="69" spans="1:5" x14ac:dyDescent="0.2">
      <c r="A69" s="9"/>
      <c r="B69" s="11" t="s">
        <v>32</v>
      </c>
      <c r="C69" s="4">
        <v>12.25048476080047</v>
      </c>
      <c r="D69" s="4">
        <v>186.97691170344896</v>
      </c>
      <c r="E69" s="4">
        <v>3.5130666559841406</v>
      </c>
    </row>
    <row r="70" spans="1:5" x14ac:dyDescent="0.2">
      <c r="A70" s="9"/>
      <c r="B70" s="11" t="s">
        <v>33</v>
      </c>
      <c r="C70" s="4">
        <v>21.715773934401177</v>
      </c>
      <c r="D70" s="4">
        <v>63.04478467388666</v>
      </c>
      <c r="E70" s="4">
        <v>1.0964683250178746</v>
      </c>
    </row>
    <row r="71" spans="1:5" x14ac:dyDescent="0.2">
      <c r="A71" s="9"/>
      <c r="B71" s="11" t="s">
        <v>34</v>
      </c>
      <c r="C71" s="4">
        <v>1.5510355785032706</v>
      </c>
      <c r="D71" s="4">
        <v>160.73928966670064</v>
      </c>
      <c r="E71" s="4">
        <v>0</v>
      </c>
    </row>
    <row r="72" spans="1:5" x14ac:dyDescent="0.2">
      <c r="A72" s="9"/>
      <c r="B72" s="151"/>
      <c r="C72" s="9"/>
      <c r="D72" s="9"/>
      <c r="E72" s="9"/>
    </row>
    <row r="73" spans="1:5" x14ac:dyDescent="0.2">
      <c r="A73" s="9"/>
      <c r="B73" s="17" t="s">
        <v>51</v>
      </c>
      <c r="C73" s="17">
        <f>AVERAGE(C69:C71)</f>
        <v>11.839098091234971</v>
      </c>
      <c r="D73" s="17">
        <f>AVERAGE(D69:D71)</f>
        <v>136.92032868134541</v>
      </c>
      <c r="E73" s="17">
        <f>AVERAGE(E69:E71)</f>
        <v>1.5365116603340052</v>
      </c>
    </row>
    <row r="74" spans="1:5" x14ac:dyDescent="0.2">
      <c r="A74" s="9"/>
      <c r="B74" s="17" t="s">
        <v>13</v>
      </c>
      <c r="C74" s="17">
        <f>STDEV(C69:C71)</f>
        <v>10.088661828229611</v>
      </c>
      <c r="D74" s="17">
        <f>STDEV(D69:D71)</f>
        <v>65.309265838273646</v>
      </c>
      <c r="E74" s="17">
        <f t="shared" ref="E74" si="5">STDEV(E69:E71)</f>
        <v>1.7973975450812225</v>
      </c>
    </row>
    <row r="75" spans="1:5" x14ac:dyDescent="0.2">
      <c r="A75" s="9"/>
      <c r="B75" s="17" t="s">
        <v>14</v>
      </c>
      <c r="C75" s="45">
        <f>C74/(3^0.5)</f>
        <v>5.8246916222914686</v>
      </c>
      <c r="D75" s="45">
        <f>D74/(3^0.5)</f>
        <v>37.706322212304123</v>
      </c>
      <c r="E75" s="45">
        <f>E74/(3^0.5)</f>
        <v>1.0377279564934163</v>
      </c>
    </row>
  </sheetData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2:E75"/>
  <sheetViews>
    <sheetView workbookViewId="0">
      <selection activeCell="A2" sqref="A2"/>
    </sheetView>
  </sheetViews>
  <sheetFormatPr baseColWidth="10" defaultRowHeight="16" x14ac:dyDescent="0.2"/>
  <cols>
    <col min="2" max="2" width="23.83203125" customWidth="1"/>
    <col min="3" max="3" width="12.6640625" bestFit="1" customWidth="1"/>
    <col min="4" max="5" width="11.6640625" bestFit="1" customWidth="1"/>
  </cols>
  <sheetData>
    <row r="2" spans="1:5" ht="18" x14ac:dyDescent="0.2">
      <c r="A2" s="53" t="s">
        <v>1167</v>
      </c>
      <c r="B2" s="121"/>
    </row>
    <row r="3" spans="1:5" ht="18" x14ac:dyDescent="0.2">
      <c r="A3" s="80"/>
      <c r="B3" s="66"/>
    </row>
    <row r="4" spans="1:5" ht="18" x14ac:dyDescent="0.2">
      <c r="A4" s="53" t="s">
        <v>921</v>
      </c>
      <c r="B4" s="121"/>
      <c r="C4" s="121"/>
      <c r="D4" s="121"/>
      <c r="E4" s="121"/>
    </row>
    <row r="6" spans="1:5" ht="18" x14ac:dyDescent="0.2">
      <c r="A6" s="14" t="s">
        <v>906</v>
      </c>
    </row>
    <row r="7" spans="1:5" x14ac:dyDescent="0.2">
      <c r="A7" s="9"/>
    </row>
    <row r="8" spans="1:5" x14ac:dyDescent="0.2">
      <c r="A8" s="9"/>
      <c r="B8" s="103" t="s">
        <v>907</v>
      </c>
      <c r="C8" s="22" t="s">
        <v>913</v>
      </c>
      <c r="D8" s="22" t="s">
        <v>914</v>
      </c>
      <c r="E8" s="22" t="s">
        <v>915</v>
      </c>
    </row>
    <row r="9" spans="1:5" x14ac:dyDescent="0.2">
      <c r="A9" s="9"/>
      <c r="B9" s="11" t="s">
        <v>32</v>
      </c>
      <c r="C9" s="4">
        <v>5257.4269844026403</v>
      </c>
      <c r="D9" s="4">
        <v>230.37146675157052</v>
      </c>
      <c r="E9" s="4">
        <v>553.92521578499588</v>
      </c>
    </row>
    <row r="10" spans="1:5" x14ac:dyDescent="0.2">
      <c r="A10" s="9"/>
      <c r="B10" s="11" t="s">
        <v>33</v>
      </c>
      <c r="C10" s="4">
        <v>1358.9799896559518</v>
      </c>
      <c r="D10" s="4">
        <v>1917.7390344183671</v>
      </c>
      <c r="E10" s="4">
        <v>5.4983003694554942</v>
      </c>
    </row>
    <row r="11" spans="1:5" x14ac:dyDescent="0.2">
      <c r="A11" s="9"/>
      <c r="B11" s="11" t="s">
        <v>34</v>
      </c>
      <c r="C11" s="4">
        <v>2686.6232772534436</v>
      </c>
      <c r="D11" s="4"/>
      <c r="E11" s="4"/>
    </row>
    <row r="12" spans="1:5" x14ac:dyDescent="0.2">
      <c r="A12" s="9"/>
      <c r="B12" s="151"/>
      <c r="C12" s="9"/>
      <c r="D12" s="9"/>
      <c r="E12" s="9"/>
    </row>
    <row r="13" spans="1:5" x14ac:dyDescent="0.2">
      <c r="A13" s="9"/>
      <c r="B13" s="17" t="s">
        <v>51</v>
      </c>
      <c r="C13" s="17">
        <f>AVERAGE(C9:C11)</f>
        <v>3101.0100837706782</v>
      </c>
      <c r="D13" s="17">
        <f>AVERAGE(D9:D10)</f>
        <v>1074.0552505849687</v>
      </c>
      <c r="E13" s="17">
        <f>AVERAGE(E9:E10)</f>
        <v>279.71175807722568</v>
      </c>
    </row>
    <row r="14" spans="1:5" x14ac:dyDescent="0.2">
      <c r="A14" s="9"/>
      <c r="B14" s="17" t="s">
        <v>13</v>
      </c>
      <c r="C14" s="17">
        <f>STDEV(C9:C11)</f>
        <v>1981.9837440741117</v>
      </c>
      <c r="D14" s="17">
        <f>STDEV(D9:D10)</f>
        <v>1193.1490494514428</v>
      </c>
      <c r="E14" s="17">
        <f>STDEV(E9:E10)</f>
        <v>387.79639087554978</v>
      </c>
    </row>
    <row r="15" spans="1:5" x14ac:dyDescent="0.2">
      <c r="A15" s="9"/>
      <c r="B15" s="17" t="s">
        <v>14</v>
      </c>
      <c r="C15" s="45">
        <f>C14/(3^0.5)</f>
        <v>1144.2988481706507</v>
      </c>
      <c r="D15" s="45">
        <f>D14/(2^0.5)</f>
        <v>843.68378383339848</v>
      </c>
      <c r="E15" s="45">
        <f>E14/(2^0.5)</f>
        <v>274.2134577077702</v>
      </c>
    </row>
    <row r="16" spans="1:5" x14ac:dyDescent="0.2">
      <c r="A16" s="9"/>
    </row>
    <row r="17" spans="1:5" x14ac:dyDescent="0.2">
      <c r="A17" s="9"/>
    </row>
    <row r="18" spans="1:5" ht="18" x14ac:dyDescent="0.2">
      <c r="A18" s="14" t="s">
        <v>908</v>
      </c>
    </row>
    <row r="19" spans="1:5" x14ac:dyDescent="0.2">
      <c r="A19" s="9"/>
    </row>
    <row r="20" spans="1:5" x14ac:dyDescent="0.2">
      <c r="A20" s="9"/>
      <c r="B20" s="103" t="s">
        <v>907</v>
      </c>
      <c r="C20" s="22" t="s">
        <v>913</v>
      </c>
      <c r="D20" s="22" t="s">
        <v>914</v>
      </c>
      <c r="E20" s="22" t="s">
        <v>915</v>
      </c>
    </row>
    <row r="21" spans="1:5" x14ac:dyDescent="0.2">
      <c r="A21" s="9"/>
      <c r="B21" s="11" t="s">
        <v>32</v>
      </c>
      <c r="C21" s="4">
        <v>1.5593935739383937</v>
      </c>
      <c r="D21" s="4">
        <v>2.1591787234306916</v>
      </c>
      <c r="E21" s="4">
        <v>5.7556329139146305</v>
      </c>
    </row>
    <row r="22" spans="1:5" x14ac:dyDescent="0.2">
      <c r="A22" s="9"/>
      <c r="B22" s="11" t="s">
        <v>33</v>
      </c>
      <c r="C22" s="4">
        <v>3.1190089554468563</v>
      </c>
      <c r="D22" s="4">
        <v>2.6129316739691872</v>
      </c>
      <c r="E22" s="4">
        <v>8.3449188460539165</v>
      </c>
    </row>
    <row r="23" spans="1:5" x14ac:dyDescent="0.2">
      <c r="A23" s="9"/>
      <c r="B23" s="11" t="s">
        <v>34</v>
      </c>
      <c r="C23" s="4">
        <v>0.71999041631963745</v>
      </c>
      <c r="D23" s="4"/>
      <c r="E23" s="4"/>
    </row>
    <row r="24" spans="1:5" x14ac:dyDescent="0.2">
      <c r="A24" s="9"/>
      <c r="B24" s="151"/>
      <c r="C24" s="9"/>
      <c r="D24" s="9"/>
      <c r="E24" s="9"/>
    </row>
    <row r="25" spans="1:5" x14ac:dyDescent="0.2">
      <c r="A25" s="9"/>
      <c r="B25" s="17" t="s">
        <v>51</v>
      </c>
      <c r="C25" s="17">
        <f>AVERAGE(C21:C23)</f>
        <v>1.7994643152349628</v>
      </c>
      <c r="D25" s="17">
        <f>AVERAGE(D21:D22)</f>
        <v>2.3860551986999394</v>
      </c>
      <c r="E25" s="17">
        <f>AVERAGE(E21:E22)</f>
        <v>7.0502758799842731</v>
      </c>
    </row>
    <row r="26" spans="1:5" x14ac:dyDescent="0.2">
      <c r="A26" s="9"/>
      <c r="B26" s="17" t="s">
        <v>13</v>
      </c>
      <c r="C26" s="17">
        <f>STDEV(C21:C23)</f>
        <v>1.2173939207951698</v>
      </c>
      <c r="D26" s="17">
        <f>STDEV(D21:D22)</f>
        <v>0.32085178830917432</v>
      </c>
      <c r="E26" s="17">
        <f>STDEV(E21:E22)</f>
        <v>1.8309016410466192</v>
      </c>
    </row>
    <row r="27" spans="1:5" x14ac:dyDescent="0.2">
      <c r="A27" s="9"/>
      <c r="B27" s="17" t="s">
        <v>14</v>
      </c>
      <c r="C27" s="45">
        <f>C26/(3^0.5)</f>
        <v>0.70286270788090532</v>
      </c>
      <c r="D27" s="45">
        <f>D26/(2^0.5)</f>
        <v>0.22687647526924778</v>
      </c>
      <c r="E27" s="45">
        <f>E26/(2^0.5)</f>
        <v>1.2946429660696426</v>
      </c>
    </row>
    <row r="30" spans="1:5" ht="18" x14ac:dyDescent="0.2">
      <c r="A30" s="14" t="s">
        <v>909</v>
      </c>
    </row>
    <row r="31" spans="1:5" x14ac:dyDescent="0.2">
      <c r="A31" s="9"/>
    </row>
    <row r="32" spans="1:5" x14ac:dyDescent="0.2">
      <c r="A32" s="9"/>
      <c r="B32" s="103" t="s">
        <v>907</v>
      </c>
      <c r="C32" s="22" t="s">
        <v>913</v>
      </c>
      <c r="D32" s="22" t="s">
        <v>914</v>
      </c>
      <c r="E32" s="22" t="s">
        <v>915</v>
      </c>
    </row>
    <row r="33" spans="1:5" x14ac:dyDescent="0.2">
      <c r="A33" s="9"/>
      <c r="B33" s="11" t="s">
        <v>32</v>
      </c>
      <c r="C33" s="4">
        <v>301.15530068433912</v>
      </c>
      <c r="D33" s="4">
        <v>566.34947283976419</v>
      </c>
      <c r="E33" s="4">
        <v>175.11892693498964</v>
      </c>
    </row>
    <row r="34" spans="1:5" x14ac:dyDescent="0.2">
      <c r="A34" s="9"/>
      <c r="B34" s="11" t="s">
        <v>33</v>
      </c>
      <c r="C34" s="4">
        <v>326.55925132898682</v>
      </c>
      <c r="D34" s="4">
        <v>364.35762876211015</v>
      </c>
      <c r="E34" s="4">
        <v>17.30875502552172</v>
      </c>
    </row>
    <row r="35" spans="1:5" x14ac:dyDescent="0.2">
      <c r="A35" s="9"/>
      <c r="B35" s="11" t="s">
        <v>34</v>
      </c>
      <c r="C35" s="4">
        <v>185.46178987111745</v>
      </c>
      <c r="D35" s="4"/>
      <c r="E35" s="4"/>
    </row>
    <row r="36" spans="1:5" x14ac:dyDescent="0.2">
      <c r="A36" s="9"/>
      <c r="B36" s="151"/>
      <c r="C36" s="9"/>
      <c r="D36" s="9"/>
      <c r="E36" s="9"/>
    </row>
    <row r="37" spans="1:5" x14ac:dyDescent="0.2">
      <c r="A37" s="9"/>
      <c r="B37" s="17" t="s">
        <v>51</v>
      </c>
      <c r="C37" s="17">
        <f>AVERAGE(C33:C35)</f>
        <v>271.05878062814782</v>
      </c>
      <c r="D37" s="17">
        <f>AVERAGE(D33:D34)</f>
        <v>465.35355080093717</v>
      </c>
      <c r="E37" s="17">
        <f>AVERAGE(E33:E34)</f>
        <v>96.213840980255682</v>
      </c>
    </row>
    <row r="38" spans="1:5" x14ac:dyDescent="0.2">
      <c r="A38" s="9"/>
      <c r="B38" s="17" t="s">
        <v>13</v>
      </c>
      <c r="C38" s="17">
        <f>STDEV(C33:C35)</f>
        <v>75.209532621093174</v>
      </c>
      <c r="D38" s="17">
        <f>STDEV(D33:D34)</f>
        <v>142.82980269168519</v>
      </c>
      <c r="E38" s="17">
        <f>STDEV(E33:E34)</f>
        <v>111.58864269739958</v>
      </c>
    </row>
    <row r="39" spans="1:5" x14ac:dyDescent="0.2">
      <c r="A39" s="9"/>
      <c r="B39" s="17" t="s">
        <v>14</v>
      </c>
      <c r="C39" s="45">
        <f>C38/(3^0.5)</f>
        <v>43.422243904414088</v>
      </c>
      <c r="D39" s="45">
        <f>D38/(2^0.5)</f>
        <v>100.99592203882719</v>
      </c>
      <c r="E39" s="45">
        <f>E38/(2^0.5)</f>
        <v>78.905085954733948</v>
      </c>
    </row>
    <row r="42" spans="1:5" ht="18" x14ac:dyDescent="0.2">
      <c r="A42" s="14" t="s">
        <v>910</v>
      </c>
    </row>
    <row r="43" spans="1:5" x14ac:dyDescent="0.2">
      <c r="A43" s="9"/>
    </row>
    <row r="44" spans="1:5" x14ac:dyDescent="0.2">
      <c r="A44" s="9"/>
      <c r="B44" s="103" t="s">
        <v>907</v>
      </c>
      <c r="C44" s="22" t="s">
        <v>913</v>
      </c>
      <c r="D44" s="22" t="s">
        <v>914</v>
      </c>
      <c r="E44" s="22" t="s">
        <v>915</v>
      </c>
    </row>
    <row r="45" spans="1:5" x14ac:dyDescent="0.2">
      <c r="A45" s="9"/>
      <c r="B45" s="11" t="s">
        <v>32</v>
      </c>
      <c r="C45" s="4">
        <v>10.627882722846817</v>
      </c>
      <c r="D45" s="4">
        <v>12.073384773391457</v>
      </c>
      <c r="E45" s="4">
        <v>2.481934227946172</v>
      </c>
    </row>
    <row r="46" spans="1:5" x14ac:dyDescent="0.2">
      <c r="A46" s="9"/>
      <c r="B46" s="11" t="s">
        <v>33</v>
      </c>
      <c r="C46" s="4">
        <v>5.7535334862379344</v>
      </c>
      <c r="D46" s="4">
        <v>13.318652928507452</v>
      </c>
      <c r="E46" s="4">
        <v>5.4692964547976013</v>
      </c>
    </row>
    <row r="47" spans="1:5" x14ac:dyDescent="0.2">
      <c r="A47" s="9"/>
      <c r="B47" s="11" t="s">
        <v>34</v>
      </c>
      <c r="C47" s="4">
        <v>4.831239365988182</v>
      </c>
      <c r="D47" s="4"/>
      <c r="E47" s="4"/>
    </row>
    <row r="48" spans="1:5" x14ac:dyDescent="0.2">
      <c r="A48" s="9"/>
      <c r="B48" s="151"/>
      <c r="C48" s="9"/>
      <c r="D48" s="9"/>
      <c r="E48" s="9"/>
    </row>
    <row r="49" spans="1:5" x14ac:dyDescent="0.2">
      <c r="A49" s="9"/>
      <c r="B49" s="17" t="s">
        <v>51</v>
      </c>
      <c r="C49" s="17">
        <f>AVERAGE(C45:C47)</f>
        <v>7.0708851916909774</v>
      </c>
      <c r="D49" s="17">
        <f>AVERAGE(D45:D46)</f>
        <v>12.696018850949454</v>
      </c>
      <c r="E49" s="17">
        <f>AVERAGE(E45:E46)</f>
        <v>3.9756153413718867</v>
      </c>
    </row>
    <row r="50" spans="1:5" x14ac:dyDescent="0.2">
      <c r="A50" s="9"/>
      <c r="B50" s="17" t="s">
        <v>13</v>
      </c>
      <c r="C50" s="17">
        <f>STDEV(C45:C47)</f>
        <v>3.1147761056853462</v>
      </c>
      <c r="D50" s="17">
        <f>STDEV(D45:D46)</f>
        <v>0.88053755687818214</v>
      </c>
      <c r="E50" s="17">
        <f>STDEV(E45:E46)</f>
        <v>2.1123840884671905</v>
      </c>
    </row>
    <row r="51" spans="1:5" x14ac:dyDescent="0.2">
      <c r="A51" s="9"/>
      <c r="B51" s="17" t="s">
        <v>14</v>
      </c>
      <c r="C51" s="45">
        <f>C50/(3^0.5)</f>
        <v>1.798316823082849</v>
      </c>
      <c r="D51" s="45">
        <f>D50/(2^0.5)</f>
        <v>0.62263407755799782</v>
      </c>
      <c r="E51" s="45">
        <f>E50/(2^0.5)</f>
        <v>1.4936811134257142</v>
      </c>
    </row>
    <row r="54" spans="1:5" ht="18" x14ac:dyDescent="0.2">
      <c r="A54" s="14" t="s">
        <v>911</v>
      </c>
    </row>
    <row r="55" spans="1:5" x14ac:dyDescent="0.2">
      <c r="A55" s="9"/>
    </row>
    <row r="56" spans="1:5" x14ac:dyDescent="0.2">
      <c r="A56" s="9"/>
      <c r="B56" s="103" t="s">
        <v>907</v>
      </c>
      <c r="C56" s="22" t="s">
        <v>913</v>
      </c>
      <c r="D56" s="22" t="s">
        <v>914</v>
      </c>
      <c r="E56" s="22" t="s">
        <v>915</v>
      </c>
    </row>
    <row r="57" spans="1:5" x14ac:dyDescent="0.2">
      <c r="A57" s="9"/>
      <c r="B57" s="11" t="s">
        <v>32</v>
      </c>
      <c r="C57" s="4">
        <v>87.798954300000005</v>
      </c>
      <c r="D57" s="4">
        <v>24.832603609500772</v>
      </c>
      <c r="E57" s="4">
        <v>33.384736493688514</v>
      </c>
    </row>
    <row r="58" spans="1:5" x14ac:dyDescent="0.2">
      <c r="A58" s="9"/>
      <c r="B58" s="11" t="s">
        <v>33</v>
      </c>
      <c r="C58" s="4">
        <v>75.407942199999994</v>
      </c>
      <c r="D58" s="4">
        <v>14.352811755677113</v>
      </c>
      <c r="E58" s="4">
        <v>44.672010731895085</v>
      </c>
    </row>
    <row r="59" spans="1:5" x14ac:dyDescent="0.2">
      <c r="A59" s="9"/>
      <c r="B59" s="11" t="s">
        <v>34</v>
      </c>
      <c r="C59" s="4">
        <v>75.202677300000005</v>
      </c>
      <c r="D59" s="4"/>
      <c r="E59" s="4"/>
    </row>
    <row r="60" spans="1:5" x14ac:dyDescent="0.2">
      <c r="A60" s="9"/>
      <c r="B60" s="151"/>
      <c r="C60" s="9"/>
      <c r="D60" s="9"/>
      <c r="E60" s="9"/>
    </row>
    <row r="61" spans="1:5" x14ac:dyDescent="0.2">
      <c r="A61" s="9"/>
      <c r="B61" s="17" t="s">
        <v>51</v>
      </c>
      <c r="C61" s="17">
        <f>AVERAGE(C57:C59)</f>
        <v>79.46985793333333</v>
      </c>
      <c r="D61" s="17">
        <f>AVERAGE(D57:D58)</f>
        <v>19.592707682588944</v>
      </c>
      <c r="E61" s="17">
        <f>AVERAGE(E57:E58)</f>
        <v>39.028373612791796</v>
      </c>
    </row>
    <row r="62" spans="1:5" x14ac:dyDescent="0.2">
      <c r="A62" s="9"/>
      <c r="B62" s="17" t="s">
        <v>13</v>
      </c>
      <c r="C62" s="17">
        <f>STDEV(C57:C59)</f>
        <v>7.213939155115459</v>
      </c>
      <c r="D62" s="17">
        <f>STDEV(D57:D58)</f>
        <v>7.4103318852622397</v>
      </c>
      <c r="E62" s="17">
        <f>STDEV(E57:E58)</f>
        <v>7.9813081549481453</v>
      </c>
    </row>
    <row r="63" spans="1:5" x14ac:dyDescent="0.2">
      <c r="A63" s="9"/>
      <c r="B63" s="17" t="s">
        <v>14</v>
      </c>
      <c r="C63" s="45">
        <f>C62/(3^0.5)</f>
        <v>4.164969713123492</v>
      </c>
      <c r="D63" s="45">
        <f>D62/(2^0.5)</f>
        <v>5.2398959269118226</v>
      </c>
      <c r="E63" s="45">
        <f>E62/(2^0.5)</f>
        <v>5.6436371191033254</v>
      </c>
    </row>
    <row r="66" spans="1:5" ht="18" x14ac:dyDescent="0.2">
      <c r="A66" s="14" t="s">
        <v>912</v>
      </c>
    </row>
    <row r="67" spans="1:5" x14ac:dyDescent="0.2">
      <c r="A67" s="9"/>
    </row>
    <row r="68" spans="1:5" x14ac:dyDescent="0.2">
      <c r="A68" s="9"/>
      <c r="B68" s="103" t="s">
        <v>907</v>
      </c>
      <c r="C68" s="22" t="s">
        <v>913</v>
      </c>
      <c r="D68" s="22" t="s">
        <v>914</v>
      </c>
      <c r="E68" s="22" t="s">
        <v>915</v>
      </c>
    </row>
    <row r="69" spans="1:5" x14ac:dyDescent="0.2">
      <c r="A69" s="9"/>
      <c r="B69" s="11" t="s">
        <v>32</v>
      </c>
      <c r="C69" s="4">
        <v>20.882541721742207</v>
      </c>
      <c r="D69" s="4">
        <v>6.1534260901641984</v>
      </c>
      <c r="E69" s="4">
        <v>4.061003768604186</v>
      </c>
    </row>
    <row r="70" spans="1:5" x14ac:dyDescent="0.2">
      <c r="A70" s="9"/>
      <c r="B70" s="11" t="s">
        <v>33</v>
      </c>
      <c r="C70" s="4">
        <v>21.536582784467509</v>
      </c>
      <c r="D70" s="4">
        <v>9.7640975831751078</v>
      </c>
      <c r="E70" s="4">
        <v>0.59209175151584248</v>
      </c>
    </row>
    <row r="71" spans="1:5" x14ac:dyDescent="0.2">
      <c r="A71" s="9"/>
      <c r="B71" s="11" t="s">
        <v>34</v>
      </c>
      <c r="C71" s="4">
        <v>19.365349773662594</v>
      </c>
      <c r="D71" s="4"/>
      <c r="E71" s="4"/>
    </row>
    <row r="72" spans="1:5" x14ac:dyDescent="0.2">
      <c r="A72" s="9"/>
      <c r="B72" s="151"/>
      <c r="C72" s="9"/>
      <c r="D72" s="9"/>
      <c r="E72" s="9"/>
    </row>
    <row r="73" spans="1:5" x14ac:dyDescent="0.2">
      <c r="A73" s="9"/>
      <c r="B73" s="17" t="s">
        <v>51</v>
      </c>
      <c r="C73" s="17">
        <f>AVERAGE(C69:C71)</f>
        <v>20.594824759957437</v>
      </c>
      <c r="D73" s="17">
        <f>AVERAGE(D69:D70)</f>
        <v>7.9587618366696535</v>
      </c>
      <c r="E73" s="17">
        <f>AVERAGE(E69:E70)</f>
        <v>2.3265477600600142</v>
      </c>
    </row>
    <row r="74" spans="1:5" x14ac:dyDescent="0.2">
      <c r="A74" s="9"/>
      <c r="B74" s="17" t="s">
        <v>13</v>
      </c>
      <c r="C74" s="17">
        <f>STDEV(C69:C71)</f>
        <v>1.1138442370350705</v>
      </c>
      <c r="D74" s="17">
        <f>STDEV(D69:D70)</f>
        <v>2.5531302973449699</v>
      </c>
      <c r="E74" s="17">
        <f>STDEV(E69:E70)</f>
        <v>2.4528912106226728</v>
      </c>
    </row>
    <row r="75" spans="1:5" x14ac:dyDescent="0.2">
      <c r="A75" s="9"/>
      <c r="B75" s="17" t="s">
        <v>14</v>
      </c>
      <c r="C75" s="45">
        <f>C74/(3^0.5)</f>
        <v>0.64307827008751128</v>
      </c>
      <c r="D75" s="45">
        <f>D74/(2^0.5)</f>
        <v>1.8053357465054545</v>
      </c>
      <c r="E75" s="45">
        <f>E74/(2^0.5)</f>
        <v>1.7344560085441718</v>
      </c>
    </row>
  </sheetData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2:G28"/>
  <sheetViews>
    <sheetView workbookViewId="0">
      <selection activeCell="F32" sqref="F32"/>
    </sheetView>
  </sheetViews>
  <sheetFormatPr baseColWidth="10" defaultRowHeight="16" x14ac:dyDescent="0.2"/>
  <cols>
    <col min="3" max="3" width="16.33203125" customWidth="1"/>
    <col min="6" max="6" width="12.5" customWidth="1"/>
    <col min="7" max="7" width="16.1640625" customWidth="1"/>
  </cols>
  <sheetData>
    <row r="2" spans="1:7" ht="18" x14ac:dyDescent="0.2">
      <c r="A2" s="53" t="s">
        <v>1168</v>
      </c>
      <c r="B2" s="14"/>
      <c r="C2" s="14"/>
    </row>
    <row r="3" spans="1:7" x14ac:dyDescent="0.2">
      <c r="A3" s="58"/>
    </row>
    <row r="4" spans="1:7" ht="18" x14ac:dyDescent="0.2">
      <c r="A4" s="14" t="s">
        <v>422</v>
      </c>
      <c r="B4" s="14"/>
    </row>
    <row r="7" spans="1:7" x14ac:dyDescent="0.2">
      <c r="F7" s="95"/>
    </row>
    <row r="8" spans="1:7" x14ac:dyDescent="0.2">
      <c r="B8" s="156" t="s">
        <v>419</v>
      </c>
      <c r="C8" s="9"/>
      <c r="D8" s="9"/>
      <c r="E8" s="9"/>
      <c r="F8" s="156" t="s">
        <v>420</v>
      </c>
      <c r="G8" s="9"/>
    </row>
    <row r="9" spans="1:7" x14ac:dyDescent="0.2">
      <c r="B9" s="9"/>
      <c r="C9" s="9"/>
      <c r="D9" s="9"/>
      <c r="E9" s="9"/>
      <c r="F9" s="9"/>
      <c r="G9" s="48"/>
    </row>
    <row r="10" spans="1:7" x14ac:dyDescent="0.2">
      <c r="B10" s="94" t="s">
        <v>421</v>
      </c>
      <c r="C10" s="17" t="s">
        <v>422</v>
      </c>
      <c r="D10" s="9"/>
      <c r="E10" s="9"/>
      <c r="F10" s="17" t="s">
        <v>423</v>
      </c>
      <c r="G10" s="17" t="s">
        <v>422</v>
      </c>
    </row>
    <row r="11" spans="1:7" x14ac:dyDescent="0.2">
      <c r="B11" s="94">
        <v>365</v>
      </c>
      <c r="C11" s="104">
        <v>0.36842105263157893</v>
      </c>
      <c r="D11" s="9"/>
      <c r="E11" s="48"/>
      <c r="F11" s="17" t="s">
        <v>424</v>
      </c>
      <c r="G11" s="104">
        <v>0.19999999999999998</v>
      </c>
    </row>
    <row r="12" spans="1:7" x14ac:dyDescent="0.2">
      <c r="B12" s="94">
        <v>296</v>
      </c>
      <c r="C12" s="104">
        <v>0.4</v>
      </c>
      <c r="D12" s="9"/>
      <c r="E12" s="48"/>
      <c r="F12" s="17" t="s">
        <v>425</v>
      </c>
      <c r="G12" s="104">
        <v>0.37499999999999994</v>
      </c>
    </row>
    <row r="13" spans="1:7" x14ac:dyDescent="0.2">
      <c r="B13" s="94">
        <v>2467</v>
      </c>
      <c r="C13" s="104">
        <v>0.17241379310344829</v>
      </c>
      <c r="D13" s="9"/>
      <c r="E13" s="48"/>
      <c r="F13" s="17" t="s">
        <v>426</v>
      </c>
      <c r="G13" s="104">
        <v>0.4</v>
      </c>
    </row>
    <row r="14" spans="1:7" x14ac:dyDescent="0.2">
      <c r="B14" s="94">
        <v>1316</v>
      </c>
      <c r="C14" s="104">
        <v>0.3125</v>
      </c>
      <c r="D14" s="48"/>
      <c r="E14" s="48"/>
      <c r="F14" s="48"/>
      <c r="G14" s="9"/>
    </row>
    <row r="15" spans="1:7" x14ac:dyDescent="0.2">
      <c r="B15" s="48"/>
      <c r="C15" s="48"/>
      <c r="D15" s="48"/>
      <c r="E15" s="48"/>
      <c r="F15" s="48"/>
      <c r="G15" s="9"/>
    </row>
    <row r="16" spans="1:7" x14ac:dyDescent="0.2">
      <c r="B16" s="103" t="s">
        <v>51</v>
      </c>
      <c r="C16" s="104">
        <f>AVERAGE(C11:C14)</f>
        <v>0.31333371143375677</v>
      </c>
      <c r="D16" s="9"/>
      <c r="E16" s="9"/>
      <c r="F16" s="103" t="s">
        <v>51</v>
      </c>
      <c r="G16" s="104">
        <f>AVERAGE(G11:G13)</f>
        <v>0.32500000000000001</v>
      </c>
    </row>
    <row r="17" spans="2:7" x14ac:dyDescent="0.2">
      <c r="B17" s="103" t="s">
        <v>13</v>
      </c>
      <c r="C17" s="17">
        <f>STDEV(C11:C14)</f>
        <v>0.10067237156749002</v>
      </c>
      <c r="D17" s="48"/>
      <c r="E17" s="48"/>
      <c r="F17" s="103" t="s">
        <v>13</v>
      </c>
      <c r="G17" s="17">
        <f>STDEV(G11:G13)</f>
        <v>0.10897247358851682</v>
      </c>
    </row>
    <row r="18" spans="2:7" x14ac:dyDescent="0.2">
      <c r="B18" s="103" t="s">
        <v>14</v>
      </c>
      <c r="C18" s="45">
        <f>C17/(4^0.5)</f>
        <v>5.0336185783745012E-2</v>
      </c>
      <c r="D18" s="9"/>
      <c r="E18" s="9"/>
      <c r="F18" s="103" t="s">
        <v>14</v>
      </c>
      <c r="G18" s="45">
        <f>G17/(3^0.5)</f>
        <v>6.2915286960589567E-2</v>
      </c>
    </row>
    <row r="21" spans="2:7" ht="18" x14ac:dyDescent="0.2">
      <c r="B21" s="19" t="s">
        <v>52</v>
      </c>
      <c r="C21" s="20"/>
      <c r="D21" s="20"/>
      <c r="E21" s="20"/>
      <c r="F21" s="20"/>
    </row>
    <row r="23" spans="2:7" x14ac:dyDescent="0.2">
      <c r="B23" s="2" t="s">
        <v>416</v>
      </c>
      <c r="C23" s="1"/>
    </row>
    <row r="24" spans="2:7" x14ac:dyDescent="0.2">
      <c r="B24" s="2" t="s">
        <v>36</v>
      </c>
      <c r="C24" s="1">
        <v>0.88829999999999998</v>
      </c>
    </row>
    <row r="25" spans="2:7" x14ac:dyDescent="0.2">
      <c r="B25" s="2" t="s">
        <v>37</v>
      </c>
      <c r="C25" s="1" t="s">
        <v>9</v>
      </c>
    </row>
    <row r="26" spans="2:7" x14ac:dyDescent="0.2">
      <c r="B26" s="2" t="s">
        <v>303</v>
      </c>
      <c r="C26" s="1" t="s">
        <v>49</v>
      </c>
    </row>
    <row r="27" spans="2:7" x14ac:dyDescent="0.2">
      <c r="B27" s="2" t="s">
        <v>304</v>
      </c>
      <c r="C27" s="1" t="s">
        <v>305</v>
      </c>
    </row>
    <row r="28" spans="2:7" x14ac:dyDescent="0.2">
      <c r="B28" s="2" t="s">
        <v>417</v>
      </c>
      <c r="C28" s="1" t="s">
        <v>427</v>
      </c>
    </row>
  </sheetData>
  <pageMargins left="0.7" right="0.7" top="0.78740157499999996" bottom="0.78740157499999996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T52"/>
  <sheetViews>
    <sheetView topLeftCell="C1" zoomScale="62" zoomScaleNormal="62" zoomScalePageLayoutView="62" workbookViewId="0">
      <selection activeCell="C14" activeCellId="1" sqref="C8:C10 C14:C16"/>
    </sheetView>
  </sheetViews>
  <sheetFormatPr baseColWidth="10" defaultRowHeight="16" x14ac:dyDescent="0.2"/>
  <cols>
    <col min="3" max="3" width="14.6640625" customWidth="1"/>
    <col min="5" max="5" width="15.83203125" customWidth="1"/>
    <col min="8" max="8" width="15" customWidth="1"/>
  </cols>
  <sheetData>
    <row r="2" spans="1:20" ht="18" x14ac:dyDescent="0.2">
      <c r="A2" s="53" t="s">
        <v>441</v>
      </c>
      <c r="B2" s="121"/>
    </row>
    <row r="3" spans="1:20" ht="18" x14ac:dyDescent="0.2">
      <c r="A3" s="80"/>
      <c r="B3" s="66"/>
    </row>
    <row r="4" spans="1:20" ht="18" x14ac:dyDescent="0.2">
      <c r="A4" s="53" t="s">
        <v>442</v>
      </c>
      <c r="B4" s="121"/>
      <c r="C4" s="121"/>
      <c r="D4" s="121"/>
      <c r="E4" s="121"/>
    </row>
    <row r="6" spans="1:20" x14ac:dyDescent="0.2">
      <c r="D6" s="508" t="s">
        <v>428</v>
      </c>
      <c r="E6" s="509"/>
      <c r="F6" s="509"/>
      <c r="G6" s="510"/>
      <c r="H6" s="508" t="s">
        <v>429</v>
      </c>
      <c r="I6" s="509"/>
      <c r="J6" s="509"/>
      <c r="K6" s="510"/>
      <c r="L6" s="508" t="s">
        <v>430</v>
      </c>
      <c r="M6" s="509"/>
      <c r="N6" s="509"/>
      <c r="O6" s="510"/>
    </row>
    <row r="7" spans="1:20" x14ac:dyDescent="0.2">
      <c r="C7" s="21"/>
      <c r="D7" s="18" t="s">
        <v>1</v>
      </c>
      <c r="E7" s="22" t="s">
        <v>2</v>
      </c>
      <c r="F7" s="22" t="s">
        <v>3</v>
      </c>
      <c r="G7" s="22" t="s">
        <v>4</v>
      </c>
      <c r="H7" s="18" t="s">
        <v>1</v>
      </c>
      <c r="I7" s="22" t="s">
        <v>2</v>
      </c>
      <c r="J7" s="22" t="s">
        <v>3</v>
      </c>
      <c r="K7" s="22" t="s">
        <v>4</v>
      </c>
      <c r="L7" s="18" t="s">
        <v>1</v>
      </c>
      <c r="M7" s="22" t="s">
        <v>2</v>
      </c>
      <c r="N7" s="22" t="s">
        <v>3</v>
      </c>
      <c r="O7" s="22" t="s">
        <v>4</v>
      </c>
    </row>
    <row r="8" spans="1:20" x14ac:dyDescent="0.2">
      <c r="C8" s="454" t="s">
        <v>32</v>
      </c>
      <c r="D8" s="122">
        <v>116</v>
      </c>
      <c r="E8" s="122">
        <v>27</v>
      </c>
      <c r="F8" s="122">
        <v>49</v>
      </c>
      <c r="G8" s="122">
        <v>27</v>
      </c>
      <c r="H8" s="122">
        <v>25</v>
      </c>
      <c r="I8" s="122">
        <v>9</v>
      </c>
      <c r="J8" s="122">
        <v>18</v>
      </c>
      <c r="K8" s="122">
        <v>6</v>
      </c>
      <c r="L8" s="4">
        <v>150</v>
      </c>
      <c r="M8" s="4">
        <v>163</v>
      </c>
      <c r="N8" s="4">
        <v>150</v>
      </c>
      <c r="O8" s="4">
        <v>141</v>
      </c>
    </row>
    <row r="9" spans="1:20" x14ac:dyDescent="0.2">
      <c r="C9" s="454" t="s">
        <v>33</v>
      </c>
      <c r="D9" s="122">
        <v>123</v>
      </c>
      <c r="E9" s="122">
        <v>18</v>
      </c>
      <c r="F9" s="122">
        <v>38</v>
      </c>
      <c r="G9" s="122">
        <v>22</v>
      </c>
      <c r="H9" s="122">
        <v>9</v>
      </c>
      <c r="I9" s="122">
        <v>3</v>
      </c>
      <c r="J9" s="122">
        <v>2</v>
      </c>
      <c r="K9" s="122">
        <v>3</v>
      </c>
      <c r="L9" s="4">
        <v>135</v>
      </c>
      <c r="M9" s="4">
        <v>140</v>
      </c>
      <c r="N9" s="4">
        <v>154</v>
      </c>
      <c r="O9" s="4">
        <v>125</v>
      </c>
    </row>
    <row r="10" spans="1:20" x14ac:dyDescent="0.2">
      <c r="C10" s="454" t="s">
        <v>34</v>
      </c>
      <c r="D10" s="122">
        <v>106</v>
      </c>
      <c r="E10" s="122">
        <v>13</v>
      </c>
      <c r="F10" s="122">
        <v>73</v>
      </c>
      <c r="G10" s="122">
        <v>13</v>
      </c>
      <c r="H10" s="122">
        <v>31</v>
      </c>
      <c r="I10" s="122">
        <v>3</v>
      </c>
      <c r="J10" s="122">
        <v>5</v>
      </c>
      <c r="K10" s="122">
        <v>1</v>
      </c>
      <c r="L10" s="4">
        <v>146</v>
      </c>
      <c r="M10" s="4">
        <v>160</v>
      </c>
      <c r="N10" s="4">
        <v>138</v>
      </c>
      <c r="O10" s="4">
        <v>130</v>
      </c>
    </row>
    <row r="11" spans="1:20" x14ac:dyDescent="0.2">
      <c r="C11" s="9"/>
      <c r="D11" s="9"/>
      <c r="E11" s="9"/>
      <c r="F11" s="9"/>
      <c r="G11" s="9"/>
      <c r="L11" s="17">
        <f>SUM(L8:L10)</f>
        <v>431</v>
      </c>
      <c r="M11" s="17">
        <f t="shared" ref="M11:O11" si="0">SUM(M8:M10)</f>
        <v>463</v>
      </c>
      <c r="N11" s="17">
        <f t="shared" si="0"/>
        <v>442</v>
      </c>
      <c r="O11" s="17">
        <f t="shared" si="0"/>
        <v>396</v>
      </c>
    </row>
    <row r="12" spans="1:20" x14ac:dyDescent="0.2">
      <c r="D12" s="508" t="s">
        <v>431</v>
      </c>
      <c r="E12" s="509"/>
      <c r="F12" s="509"/>
      <c r="G12" s="510"/>
      <c r="H12" s="508" t="s">
        <v>432</v>
      </c>
      <c r="I12" s="509"/>
      <c r="J12" s="509"/>
      <c r="K12" s="510"/>
    </row>
    <row r="13" spans="1:20" x14ac:dyDescent="0.2">
      <c r="C13" s="21"/>
      <c r="D13" s="18" t="s">
        <v>1</v>
      </c>
      <c r="E13" s="22" t="s">
        <v>2</v>
      </c>
      <c r="F13" s="22" t="s">
        <v>3</v>
      </c>
      <c r="G13" s="22" t="s">
        <v>4</v>
      </c>
      <c r="H13" s="18" t="s">
        <v>1</v>
      </c>
      <c r="I13" s="22" t="s">
        <v>2</v>
      </c>
      <c r="J13" s="22" t="s">
        <v>3</v>
      </c>
      <c r="K13" s="22" t="s">
        <v>4</v>
      </c>
    </row>
    <row r="14" spans="1:20" x14ac:dyDescent="0.2">
      <c r="C14" s="454" t="s">
        <v>32</v>
      </c>
      <c r="D14" s="4">
        <f>D8*100/L8</f>
        <v>77.333333333333329</v>
      </c>
      <c r="E14" s="4">
        <f t="shared" ref="E14:G16" si="1">E8*100/M8</f>
        <v>16.564417177914109</v>
      </c>
      <c r="F14" s="4">
        <f t="shared" si="1"/>
        <v>32.666666666666664</v>
      </c>
      <c r="G14" s="4">
        <f t="shared" si="1"/>
        <v>19.148936170212767</v>
      </c>
      <c r="H14" s="4">
        <f>H8*100/L8</f>
        <v>16.666666666666668</v>
      </c>
      <c r="I14" s="4">
        <f t="shared" ref="I14:K16" si="2">I8*100/M8</f>
        <v>5.5214723926380369</v>
      </c>
      <c r="J14" s="123">
        <f t="shared" si="2"/>
        <v>12</v>
      </c>
      <c r="K14" s="4">
        <f t="shared" si="2"/>
        <v>4.2553191489361701</v>
      </c>
    </row>
    <row r="15" spans="1:20" x14ac:dyDescent="0.2">
      <c r="C15" s="454" t="s">
        <v>33</v>
      </c>
      <c r="D15" s="4">
        <f t="shared" ref="D15:D16" si="3">D9*100/L9</f>
        <v>91.111111111111114</v>
      </c>
      <c r="E15" s="4">
        <f t="shared" si="1"/>
        <v>12.857142857142858</v>
      </c>
      <c r="F15" s="4">
        <f t="shared" si="1"/>
        <v>24.675324675324674</v>
      </c>
      <c r="G15" s="124">
        <f t="shared" si="1"/>
        <v>17.600000000000001</v>
      </c>
      <c r="H15" s="4">
        <f t="shared" ref="H15:H16" si="4">H9*100/L9</f>
        <v>6.666666666666667</v>
      </c>
      <c r="I15" s="4">
        <f t="shared" si="2"/>
        <v>2.1428571428571428</v>
      </c>
      <c r="J15" s="4">
        <f t="shared" si="2"/>
        <v>1.2987012987012987</v>
      </c>
      <c r="K15" s="123">
        <f t="shared" si="2"/>
        <v>2.4</v>
      </c>
      <c r="S15" s="97"/>
      <c r="T15" s="97"/>
    </row>
    <row r="16" spans="1:20" x14ac:dyDescent="0.2">
      <c r="C16" s="454" t="s">
        <v>34</v>
      </c>
      <c r="D16" s="4">
        <f t="shared" si="3"/>
        <v>72.602739726027394</v>
      </c>
      <c r="E16" s="123">
        <f t="shared" si="1"/>
        <v>8.125</v>
      </c>
      <c r="F16" s="4">
        <f t="shared" si="1"/>
        <v>52.89855072463768</v>
      </c>
      <c r="G16" s="124">
        <f t="shared" si="1"/>
        <v>10</v>
      </c>
      <c r="H16" s="4">
        <f t="shared" si="4"/>
        <v>21.232876712328768</v>
      </c>
      <c r="I16" s="123">
        <f t="shared" si="2"/>
        <v>1.875</v>
      </c>
      <c r="J16" s="4">
        <f t="shared" si="2"/>
        <v>3.6231884057971016</v>
      </c>
      <c r="K16" s="4">
        <f t="shared" si="2"/>
        <v>0.76923076923076927</v>
      </c>
      <c r="S16" s="97"/>
      <c r="T16" s="97"/>
    </row>
    <row r="17" spans="1:20" x14ac:dyDescent="0.2">
      <c r="P17" s="125"/>
      <c r="S17" s="97"/>
      <c r="T17" s="97"/>
    </row>
    <row r="18" spans="1:20" x14ac:dyDescent="0.2">
      <c r="C18" s="17" t="s">
        <v>51</v>
      </c>
      <c r="D18" s="17">
        <f>AVERAGE(D14:D16)</f>
        <v>80.349061390157274</v>
      </c>
      <c r="E18" s="17">
        <f>AVERAGE(E14:E16)</f>
        <v>12.515520011685657</v>
      </c>
      <c r="F18" s="17">
        <f t="shared" ref="F18:K18" si="5">AVERAGE(F14:F16)</f>
        <v>36.746847355543004</v>
      </c>
      <c r="G18" s="17">
        <f t="shared" si="5"/>
        <v>15.582978723404258</v>
      </c>
      <c r="H18" s="17">
        <f t="shared" si="5"/>
        <v>14.855403348554034</v>
      </c>
      <c r="I18" s="17">
        <f t="shared" si="5"/>
        <v>3.1797765118317263</v>
      </c>
      <c r="J18" s="17">
        <f t="shared" si="5"/>
        <v>5.6406299014994667</v>
      </c>
      <c r="K18" s="17">
        <f t="shared" si="5"/>
        <v>2.4748499727223132</v>
      </c>
      <c r="S18" s="97"/>
      <c r="T18" s="97"/>
    </row>
    <row r="19" spans="1:20" x14ac:dyDescent="0.2">
      <c r="C19" s="17" t="s">
        <v>13</v>
      </c>
      <c r="D19" s="17">
        <f>STDEV(D14:D16)</f>
        <v>9.6156598638150079</v>
      </c>
      <c r="E19" s="17">
        <f t="shared" ref="E19:K19" si="6">STDEV(E14:E16)</f>
        <v>4.2300673992410056</v>
      </c>
      <c r="F19" s="17">
        <f t="shared" si="6"/>
        <v>14.547285932367751</v>
      </c>
      <c r="G19" s="17">
        <f t="shared" si="6"/>
        <v>4.8966355167948494</v>
      </c>
      <c r="H19" s="17">
        <f t="shared" si="6"/>
        <v>7.4501090514999957</v>
      </c>
      <c r="I19" s="17">
        <f t="shared" si="6"/>
        <v>2.0323856821193735</v>
      </c>
      <c r="J19" s="17">
        <f t="shared" si="6"/>
        <v>5.6286766752977258</v>
      </c>
      <c r="K19" s="17">
        <f t="shared" si="6"/>
        <v>1.7442491039388999</v>
      </c>
    </row>
    <row r="20" spans="1:20" x14ac:dyDescent="0.2">
      <c r="C20" s="17" t="s">
        <v>14</v>
      </c>
      <c r="D20" s="17">
        <f>D19/SQRT(3)</f>
        <v>5.5516038108094756</v>
      </c>
      <c r="E20" s="17">
        <f t="shared" ref="E20:K20" si="7">E19/SQRT(3)</f>
        <v>2.442230551642055</v>
      </c>
      <c r="F20" s="17">
        <f t="shared" si="7"/>
        <v>8.3988794490309786</v>
      </c>
      <c r="G20" s="17">
        <f t="shared" si="7"/>
        <v>2.8270738337449886</v>
      </c>
      <c r="H20" s="17">
        <f t="shared" si="7"/>
        <v>4.3013224663755905</v>
      </c>
      <c r="I20" s="17">
        <f t="shared" si="7"/>
        <v>1.1733984206687615</v>
      </c>
      <c r="J20" s="17">
        <f t="shared" si="7"/>
        <v>3.2497179936645098</v>
      </c>
      <c r="K20" s="17">
        <f t="shared" si="7"/>
        <v>1.0070426896928875</v>
      </c>
    </row>
    <row r="23" spans="1:20" ht="18" x14ac:dyDescent="0.2">
      <c r="A23" s="52" t="s">
        <v>433</v>
      </c>
      <c r="B23" s="9"/>
      <c r="C23" s="19" t="s">
        <v>52</v>
      </c>
      <c r="D23" s="20"/>
      <c r="E23" s="20"/>
      <c r="F23" s="20"/>
      <c r="G23" s="20"/>
      <c r="H23" s="9"/>
      <c r="I23" s="9"/>
    </row>
    <row r="24" spans="1:20" x14ac:dyDescent="0.2">
      <c r="B24" s="9"/>
      <c r="C24" s="9"/>
      <c r="D24" s="9"/>
      <c r="E24" s="9"/>
      <c r="F24" s="9"/>
      <c r="G24" s="9"/>
      <c r="H24" s="9"/>
      <c r="I24" s="9"/>
    </row>
    <row r="25" spans="1:20" x14ac:dyDescent="0.2">
      <c r="B25" s="9"/>
      <c r="C25" s="15" t="s">
        <v>53</v>
      </c>
      <c r="D25" s="1"/>
      <c r="E25" s="9"/>
      <c r="F25" s="9"/>
      <c r="G25" s="9"/>
      <c r="H25" s="9"/>
      <c r="I25" s="9"/>
    </row>
    <row r="26" spans="1:20" x14ac:dyDescent="0.2">
      <c r="B26" s="9"/>
      <c r="C26" s="2" t="s">
        <v>0</v>
      </c>
      <c r="D26" s="9"/>
      <c r="E26" s="9"/>
      <c r="F26" s="1">
        <v>33.94</v>
      </c>
      <c r="G26" s="9"/>
      <c r="H26" s="9"/>
      <c r="I26" s="9"/>
    </row>
    <row r="27" spans="1:20" x14ac:dyDescent="0.2">
      <c r="B27" s="9"/>
      <c r="C27" s="2" t="s">
        <v>36</v>
      </c>
      <c r="D27" s="9"/>
      <c r="E27" s="9"/>
      <c r="F27" s="46" t="s">
        <v>176</v>
      </c>
      <c r="G27" s="9"/>
      <c r="H27" s="9"/>
      <c r="I27" s="9"/>
    </row>
    <row r="28" spans="1:20" x14ac:dyDescent="0.2">
      <c r="B28" s="9"/>
      <c r="C28" s="2" t="s">
        <v>37</v>
      </c>
      <c r="D28" s="9"/>
      <c r="E28" s="9"/>
      <c r="F28" s="46" t="s">
        <v>10</v>
      </c>
      <c r="G28" s="16"/>
      <c r="H28" s="9"/>
      <c r="I28" s="9"/>
    </row>
    <row r="29" spans="1:20" x14ac:dyDescent="0.2">
      <c r="B29" s="9"/>
      <c r="C29" s="2" t="s">
        <v>54</v>
      </c>
      <c r="D29" s="9"/>
      <c r="E29" s="9"/>
      <c r="F29" s="46" t="s">
        <v>41</v>
      </c>
      <c r="G29" s="1"/>
      <c r="H29" s="9"/>
      <c r="I29" s="9"/>
    </row>
    <row r="30" spans="1:20" x14ac:dyDescent="0.2">
      <c r="B30" s="9"/>
      <c r="C30" s="2" t="s">
        <v>55</v>
      </c>
      <c r="D30" s="9"/>
      <c r="E30" s="9"/>
      <c r="F30" s="1">
        <v>0.92720000000000002</v>
      </c>
      <c r="G30" s="1"/>
      <c r="H30" s="9"/>
      <c r="I30" s="9"/>
    </row>
    <row r="31" spans="1:20" x14ac:dyDescent="0.2">
      <c r="B31" s="9"/>
    </row>
    <row r="32" spans="1:20" x14ac:dyDescent="0.2">
      <c r="B32" s="9"/>
      <c r="C32" s="3" t="s">
        <v>44</v>
      </c>
      <c r="D32" s="52"/>
      <c r="E32" s="52"/>
      <c r="F32" s="52"/>
      <c r="G32" s="52"/>
      <c r="H32" s="52"/>
      <c r="I32" s="9"/>
    </row>
    <row r="33" spans="1:9" x14ac:dyDescent="0.2">
      <c r="B33" s="9"/>
      <c r="C33" s="76"/>
      <c r="D33" s="16" t="s">
        <v>45</v>
      </c>
      <c r="E33" s="16" t="s">
        <v>46</v>
      </c>
      <c r="F33" s="16" t="s">
        <v>47</v>
      </c>
      <c r="G33" s="16" t="s">
        <v>48</v>
      </c>
      <c r="H33" s="16" t="s">
        <v>5</v>
      </c>
      <c r="I33" s="9"/>
    </row>
    <row r="34" spans="1:9" x14ac:dyDescent="0.2">
      <c r="B34" s="9"/>
      <c r="C34" s="2" t="s">
        <v>6</v>
      </c>
      <c r="D34" s="1">
        <v>67.83</v>
      </c>
      <c r="E34" s="1" t="s">
        <v>434</v>
      </c>
      <c r="F34" s="1" t="s">
        <v>41</v>
      </c>
      <c r="G34" s="1" t="s">
        <v>10</v>
      </c>
      <c r="H34" s="46" t="s">
        <v>176</v>
      </c>
      <c r="I34" s="9"/>
    </row>
    <row r="35" spans="1:9" x14ac:dyDescent="0.2">
      <c r="B35" s="9"/>
      <c r="C35" s="2" t="s">
        <v>7</v>
      </c>
      <c r="D35" s="1">
        <v>43.6</v>
      </c>
      <c r="E35" s="1" t="s">
        <v>435</v>
      </c>
      <c r="F35" s="1" t="s">
        <v>41</v>
      </c>
      <c r="G35" s="1" t="s">
        <v>11</v>
      </c>
      <c r="H35" s="46">
        <v>1.1000000000000001E-3</v>
      </c>
      <c r="I35" s="9"/>
    </row>
    <row r="36" spans="1:9" x14ac:dyDescent="0.2">
      <c r="B36" s="9"/>
      <c r="C36" s="2" t="s">
        <v>8</v>
      </c>
      <c r="D36" s="1">
        <v>64.77</v>
      </c>
      <c r="E36" s="1" t="s">
        <v>436</v>
      </c>
      <c r="F36" s="1" t="s">
        <v>41</v>
      </c>
      <c r="G36" s="1" t="s">
        <v>10</v>
      </c>
      <c r="H36" s="46" t="s">
        <v>176</v>
      </c>
      <c r="I36" s="9"/>
    </row>
    <row r="39" spans="1:9" ht="18" x14ac:dyDescent="0.2">
      <c r="A39" s="52" t="s">
        <v>437</v>
      </c>
      <c r="B39" s="9"/>
      <c r="C39" s="19" t="s">
        <v>52</v>
      </c>
      <c r="D39" s="20"/>
      <c r="E39" s="20"/>
      <c r="F39" s="20"/>
      <c r="G39" s="20"/>
      <c r="H39" s="9"/>
    </row>
    <row r="40" spans="1:9" x14ac:dyDescent="0.2">
      <c r="B40" s="9"/>
      <c r="C40" s="9"/>
      <c r="D40" s="9"/>
      <c r="E40" s="9"/>
      <c r="F40" s="9"/>
      <c r="G40" s="9"/>
      <c r="H40" s="9"/>
    </row>
    <row r="41" spans="1:9" x14ac:dyDescent="0.2">
      <c r="B41" s="9"/>
      <c r="C41" s="15" t="s">
        <v>53</v>
      </c>
      <c r="D41" s="1"/>
      <c r="E41" s="9"/>
      <c r="F41" s="9"/>
      <c r="G41" s="9"/>
      <c r="H41" s="9"/>
    </row>
    <row r="42" spans="1:9" x14ac:dyDescent="0.2">
      <c r="B42" s="9"/>
      <c r="C42" s="2" t="s">
        <v>0</v>
      </c>
      <c r="D42" s="126"/>
      <c r="E42" s="9"/>
      <c r="F42" s="1">
        <v>4.1449999999999996</v>
      </c>
      <c r="G42" s="9"/>
      <c r="H42" s="9"/>
    </row>
    <row r="43" spans="1:9" x14ac:dyDescent="0.2">
      <c r="B43" s="9"/>
      <c r="C43" s="2" t="s">
        <v>36</v>
      </c>
      <c r="D43" s="126"/>
      <c r="E43" s="9"/>
      <c r="F43" s="1">
        <v>4.7899999999999998E-2</v>
      </c>
      <c r="G43" s="9"/>
      <c r="H43" s="9"/>
    </row>
    <row r="44" spans="1:9" x14ac:dyDescent="0.2">
      <c r="B44" s="9"/>
      <c r="C44" s="2" t="s">
        <v>37</v>
      </c>
      <c r="D44" s="126"/>
      <c r="E44" s="9"/>
      <c r="F44" s="46" t="s">
        <v>12</v>
      </c>
      <c r="G44" s="16"/>
      <c r="H44" s="9"/>
    </row>
    <row r="45" spans="1:9" x14ac:dyDescent="0.2">
      <c r="B45" s="9"/>
      <c r="C45" s="2" t="s">
        <v>54</v>
      </c>
      <c r="D45" s="126"/>
      <c r="E45" s="9"/>
      <c r="F45" s="46" t="s">
        <v>41</v>
      </c>
      <c r="G45" s="1"/>
      <c r="H45" s="9"/>
    </row>
    <row r="46" spans="1:9" x14ac:dyDescent="0.2">
      <c r="B46" s="9"/>
      <c r="C46" s="2" t="s">
        <v>55</v>
      </c>
      <c r="D46" s="126"/>
      <c r="E46" s="9"/>
      <c r="F46" s="1">
        <v>0.60850000000000004</v>
      </c>
      <c r="G46" s="1"/>
      <c r="H46" s="9"/>
    </row>
    <row r="47" spans="1:9" x14ac:dyDescent="0.2">
      <c r="B47" s="9"/>
    </row>
    <row r="48" spans="1:9" x14ac:dyDescent="0.2">
      <c r="B48" s="9"/>
      <c r="C48" s="3" t="s">
        <v>44</v>
      </c>
      <c r="D48" s="76"/>
      <c r="E48" s="76"/>
      <c r="F48" s="76"/>
      <c r="G48" s="76"/>
      <c r="H48" s="76"/>
    </row>
    <row r="49" spans="2:8" x14ac:dyDescent="0.2">
      <c r="B49" s="9"/>
      <c r="C49" s="76"/>
      <c r="D49" s="16" t="s">
        <v>45</v>
      </c>
      <c r="E49" s="16" t="s">
        <v>46</v>
      </c>
      <c r="F49" s="16" t="s">
        <v>47</v>
      </c>
      <c r="G49" s="16" t="s">
        <v>48</v>
      </c>
      <c r="H49" s="16" t="s">
        <v>5</v>
      </c>
    </row>
    <row r="50" spans="2:8" x14ac:dyDescent="0.2">
      <c r="B50" s="9"/>
      <c r="C50" s="2" t="s">
        <v>6</v>
      </c>
      <c r="D50" s="1">
        <v>11.68</v>
      </c>
      <c r="E50" s="1" t="s">
        <v>438</v>
      </c>
      <c r="F50" s="1" t="s">
        <v>41</v>
      </c>
      <c r="G50" s="1" t="s">
        <v>12</v>
      </c>
      <c r="H50" s="1">
        <v>4.5400000000000003E-2</v>
      </c>
    </row>
    <row r="51" spans="2:8" x14ac:dyDescent="0.2">
      <c r="B51" s="9"/>
      <c r="C51" s="2" t="s">
        <v>7</v>
      </c>
      <c r="D51" s="1">
        <v>9.2149999999999999</v>
      </c>
      <c r="E51" s="1" t="s">
        <v>439</v>
      </c>
      <c r="F51" s="1" t="s">
        <v>49</v>
      </c>
      <c r="G51" s="1" t="s">
        <v>9</v>
      </c>
      <c r="H51" s="1">
        <v>0.11409999999999999</v>
      </c>
    </row>
    <row r="52" spans="2:8" x14ac:dyDescent="0.2">
      <c r="B52" s="9"/>
      <c r="C52" s="2" t="s">
        <v>8</v>
      </c>
      <c r="D52" s="1">
        <v>12.38</v>
      </c>
      <c r="E52" s="1" t="s">
        <v>440</v>
      </c>
      <c r="F52" s="1" t="s">
        <v>41</v>
      </c>
      <c r="G52" s="1" t="s">
        <v>12</v>
      </c>
      <c r="H52" s="1">
        <v>3.5000000000000003E-2</v>
      </c>
    </row>
  </sheetData>
  <mergeCells count="5">
    <mergeCell ref="D6:G6"/>
    <mergeCell ref="H6:K6"/>
    <mergeCell ref="L6:O6"/>
    <mergeCell ref="D12:G12"/>
    <mergeCell ref="H12:K12"/>
  </mergeCells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2:S146"/>
  <sheetViews>
    <sheetView workbookViewId="0">
      <selection activeCell="H30" sqref="H30"/>
    </sheetView>
  </sheetViews>
  <sheetFormatPr baseColWidth="10" defaultColWidth="10.83203125" defaultRowHeight="16" x14ac:dyDescent="0.2"/>
  <cols>
    <col min="1" max="1" width="10.83203125" style="27"/>
    <col min="2" max="2" width="19.6640625" style="27" customWidth="1"/>
    <col min="3" max="4" width="10.83203125" style="27"/>
    <col min="5" max="5" width="12.5" style="27" customWidth="1"/>
    <col min="6" max="7" width="10.83203125" style="27"/>
    <col min="8" max="8" width="13" style="27" customWidth="1"/>
    <col min="9" max="16384" width="10.83203125" style="27"/>
  </cols>
  <sheetData>
    <row r="2" spans="1:15" ht="18" x14ac:dyDescent="0.2">
      <c r="A2" s="53" t="s">
        <v>1169</v>
      </c>
      <c r="B2" s="8"/>
    </row>
    <row r="3" spans="1:15" ht="18" x14ac:dyDescent="0.2">
      <c r="A3" s="80"/>
      <c r="B3" s="42"/>
    </row>
    <row r="4" spans="1:15" ht="18" x14ac:dyDescent="0.2">
      <c r="A4" s="53" t="s">
        <v>922</v>
      </c>
      <c r="B4" s="8"/>
      <c r="C4" s="280"/>
      <c r="D4" s="280"/>
      <c r="E4" s="280"/>
    </row>
    <row r="6" spans="1:15" ht="18" x14ac:dyDescent="0.2">
      <c r="A6" s="14" t="s">
        <v>20</v>
      </c>
      <c r="B6" s="9"/>
      <c r="C6" s="9"/>
      <c r="D6" s="9"/>
      <c r="E6" s="9"/>
      <c r="F6" s="9"/>
      <c r="G6" s="9"/>
      <c r="H6" s="9"/>
    </row>
    <row r="7" spans="1:15" x14ac:dyDescent="0.2">
      <c r="A7" s="9"/>
      <c r="B7" s="9"/>
      <c r="C7" s="9"/>
      <c r="D7" s="9"/>
      <c r="E7" s="9"/>
      <c r="F7" s="9"/>
      <c r="G7" s="9"/>
      <c r="H7" s="9"/>
    </row>
    <row r="8" spans="1:15" x14ac:dyDescent="0.2">
      <c r="A8" s="9"/>
      <c r="B8" s="9"/>
      <c r="C8" s="9"/>
      <c r="D8" s="9"/>
      <c r="E8" s="9"/>
      <c r="F8" s="9"/>
      <c r="G8" s="9"/>
      <c r="H8" s="9"/>
    </row>
    <row r="9" spans="1:15" x14ac:dyDescent="0.2">
      <c r="A9" s="9"/>
      <c r="B9" s="24"/>
      <c r="C9" s="514" t="s">
        <v>1</v>
      </c>
      <c r="D9" s="515"/>
      <c r="E9" s="515"/>
      <c r="F9" s="516"/>
      <c r="G9" s="504" t="s">
        <v>2</v>
      </c>
      <c r="H9" s="505"/>
      <c r="I9" s="506"/>
      <c r="J9" s="535" t="s">
        <v>3</v>
      </c>
      <c r="K9" s="535"/>
      <c r="L9" s="535"/>
      <c r="M9" s="535" t="s">
        <v>4</v>
      </c>
      <c r="N9" s="535"/>
      <c r="O9" s="535"/>
    </row>
    <row r="10" spans="1:15" x14ac:dyDescent="0.2">
      <c r="A10" s="9"/>
      <c r="B10" s="23"/>
      <c r="C10" s="10" t="s">
        <v>32</v>
      </c>
      <c r="D10" s="10" t="s">
        <v>33</v>
      </c>
      <c r="E10" s="10" t="s">
        <v>34</v>
      </c>
      <c r="F10" s="10" t="s">
        <v>35</v>
      </c>
      <c r="G10" s="10" t="s">
        <v>32</v>
      </c>
      <c r="H10" s="10" t="s">
        <v>33</v>
      </c>
      <c r="I10" s="10" t="s">
        <v>34</v>
      </c>
      <c r="J10" s="10" t="s">
        <v>32</v>
      </c>
      <c r="K10" s="10" t="s">
        <v>33</v>
      </c>
      <c r="L10" s="10" t="s">
        <v>34</v>
      </c>
      <c r="M10" s="10" t="s">
        <v>32</v>
      </c>
      <c r="N10" s="10" t="s">
        <v>33</v>
      </c>
      <c r="O10" s="10" t="s">
        <v>34</v>
      </c>
    </row>
    <row r="11" spans="1:15" x14ac:dyDescent="0.2">
      <c r="A11" s="9"/>
      <c r="B11" s="25" t="s">
        <v>21</v>
      </c>
      <c r="C11" s="4">
        <v>1</v>
      </c>
      <c r="D11" s="4">
        <v>1</v>
      </c>
      <c r="E11" s="4">
        <v>1</v>
      </c>
      <c r="F11" s="4">
        <v>1</v>
      </c>
      <c r="G11" s="4">
        <v>1</v>
      </c>
      <c r="H11" s="4">
        <v>1</v>
      </c>
      <c r="I11" s="4">
        <v>1</v>
      </c>
      <c r="J11" s="4">
        <v>1</v>
      </c>
      <c r="K11" s="4">
        <v>1</v>
      </c>
      <c r="L11" s="4">
        <v>1</v>
      </c>
      <c r="M11" s="4">
        <v>1</v>
      </c>
      <c r="N11" s="4">
        <v>1</v>
      </c>
      <c r="O11" s="4">
        <v>1</v>
      </c>
    </row>
    <row r="12" spans="1:15" x14ac:dyDescent="0.2">
      <c r="A12" s="9"/>
      <c r="B12" s="25" t="s">
        <v>22</v>
      </c>
      <c r="C12" s="4">
        <v>884.85668599999997</v>
      </c>
      <c r="D12" s="4">
        <v>1050.38318</v>
      </c>
      <c r="E12" s="4">
        <v>657.98003600000004</v>
      </c>
      <c r="F12" s="4">
        <v>877.99100199999998</v>
      </c>
      <c r="G12" s="4">
        <v>398.91843899999998</v>
      </c>
      <c r="H12" s="4">
        <v>195.29348300000001</v>
      </c>
      <c r="I12" s="4">
        <v>398.29677800000002</v>
      </c>
      <c r="J12" s="4">
        <v>299.68436300000002</v>
      </c>
      <c r="K12" s="4">
        <v>271.26328799999999</v>
      </c>
      <c r="L12" s="4">
        <v>199.50514699999999</v>
      </c>
      <c r="M12" s="4">
        <v>491.07514700000002</v>
      </c>
      <c r="N12" s="4">
        <v>417.44722200000001</v>
      </c>
      <c r="O12" s="4">
        <v>319.17649499999999</v>
      </c>
    </row>
    <row r="13" spans="1:15" x14ac:dyDescent="0.2">
      <c r="A13" s="9"/>
      <c r="B13" s="25" t="s">
        <v>23</v>
      </c>
      <c r="C13" s="4">
        <v>461.96828499999998</v>
      </c>
      <c r="D13" s="4">
        <v>2261.0074</v>
      </c>
      <c r="E13" s="4">
        <v>897.17773</v>
      </c>
      <c r="F13" s="4">
        <v>1277.48729</v>
      </c>
      <c r="G13" s="4">
        <v>245.002048</v>
      </c>
      <c r="H13" s="4">
        <v>733.09177</v>
      </c>
      <c r="I13" s="4">
        <v>896.18327999999997</v>
      </c>
      <c r="J13" s="4">
        <v>1060.5155099999999</v>
      </c>
      <c r="K13" s="4">
        <v>273.52900199999999</v>
      </c>
      <c r="L13" s="4">
        <v>561.46595400000001</v>
      </c>
      <c r="M13" s="4">
        <v>2088.6426999999999</v>
      </c>
      <c r="N13" s="4">
        <v>1352.1129900000001</v>
      </c>
      <c r="O13" s="4">
        <v>601.80862500000001</v>
      </c>
    </row>
    <row r="14" spans="1:15" x14ac:dyDescent="0.2">
      <c r="A14" s="9"/>
      <c r="B14" s="25" t="s">
        <v>24</v>
      </c>
      <c r="C14" s="4">
        <v>1644.74704</v>
      </c>
      <c r="D14" s="4">
        <v>3754.09645</v>
      </c>
      <c r="E14" s="4">
        <v>1920.4118100000001</v>
      </c>
      <c r="F14" s="4">
        <v>826.85888599999998</v>
      </c>
      <c r="G14" s="4">
        <v>415.16758600000003</v>
      </c>
      <c r="H14" s="4">
        <v>1828.6965700000001</v>
      </c>
      <c r="I14" s="4">
        <v>1493.8297299999999</v>
      </c>
      <c r="J14" s="4">
        <v>921.25070000000005</v>
      </c>
      <c r="K14" s="4">
        <v>228.85658599999999</v>
      </c>
      <c r="L14" s="4">
        <v>544.06925100000001</v>
      </c>
      <c r="M14" s="4">
        <v>2421.10511</v>
      </c>
      <c r="N14" s="4">
        <v>1301.7168899999999</v>
      </c>
      <c r="O14" s="4">
        <v>336.51176400000003</v>
      </c>
    </row>
    <row r="15" spans="1:15" x14ac:dyDescent="0.2">
      <c r="A15" s="9"/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 x14ac:dyDescent="0.2">
      <c r="A16" s="9"/>
      <c r="G16" s="9"/>
      <c r="H16" s="9"/>
    </row>
    <row r="17" spans="1:18" x14ac:dyDescent="0.2">
      <c r="A17" s="9"/>
      <c r="C17" s="18" t="s">
        <v>1</v>
      </c>
      <c r="D17" s="18" t="s">
        <v>2</v>
      </c>
      <c r="E17" s="18" t="s">
        <v>3</v>
      </c>
      <c r="F17" s="18" t="s">
        <v>4</v>
      </c>
      <c r="I17" s="18" t="s">
        <v>1</v>
      </c>
      <c r="J17" s="18" t="s">
        <v>2</v>
      </c>
      <c r="K17" s="18" t="s">
        <v>3</v>
      </c>
      <c r="L17" s="18" t="s">
        <v>4</v>
      </c>
      <c r="O17" s="18" t="s">
        <v>1</v>
      </c>
      <c r="P17" s="18" t="s">
        <v>2</v>
      </c>
      <c r="Q17" s="18" t="s">
        <v>3</v>
      </c>
      <c r="R17" s="18" t="s">
        <v>4</v>
      </c>
    </row>
    <row r="18" spans="1:18" x14ac:dyDescent="0.2">
      <c r="A18" s="9"/>
      <c r="B18" s="26" t="s">
        <v>58</v>
      </c>
      <c r="C18" s="17">
        <f>AVERAGE(C11:F11)</f>
        <v>1</v>
      </c>
      <c r="D18" s="17">
        <f>AVERAGE(G11:I11)</f>
        <v>1</v>
      </c>
      <c r="E18" s="17">
        <f>AVERAGE(J11:L11)</f>
        <v>1</v>
      </c>
      <c r="F18" s="17">
        <f>AVERAGE(M11:O11)</f>
        <v>1</v>
      </c>
      <c r="H18" s="26" t="s">
        <v>61</v>
      </c>
      <c r="I18" s="17">
        <f>STDEV(C11:F11)</f>
        <v>0</v>
      </c>
      <c r="J18" s="17">
        <f>STDEV(G11:I11)</f>
        <v>0</v>
      </c>
      <c r="K18" s="17">
        <f>STDEV(J11:L11)</f>
        <v>0</v>
      </c>
      <c r="L18" s="17">
        <f>STDEV(M11:O11)</f>
        <v>0</v>
      </c>
      <c r="N18" s="26" t="s">
        <v>65</v>
      </c>
      <c r="O18" s="17">
        <f>I18/SQRT(4)</f>
        <v>0</v>
      </c>
      <c r="P18" s="17">
        <f>J18/SQRT(3)</f>
        <v>0</v>
      </c>
      <c r="Q18" s="17">
        <f>K18/SQRT(3)</f>
        <v>0</v>
      </c>
      <c r="R18" s="17">
        <f>L18/SQRT(3)</f>
        <v>0</v>
      </c>
    </row>
    <row r="19" spans="1:18" x14ac:dyDescent="0.2">
      <c r="A19" s="9"/>
      <c r="B19" s="26" t="s">
        <v>57</v>
      </c>
      <c r="C19" s="17">
        <f t="shared" ref="C19:C21" si="0">AVERAGE(C12:F12)</f>
        <v>867.80272599999989</v>
      </c>
      <c r="D19" s="17">
        <f>AVERAGE(G12:I12)</f>
        <v>330.83623333333333</v>
      </c>
      <c r="E19" s="17">
        <f t="shared" ref="E19:E21" si="1">AVERAGE(J12:L12)</f>
        <v>256.81759933333331</v>
      </c>
      <c r="F19" s="17">
        <f t="shared" ref="F19:F21" si="2">AVERAGE(M12:O12)</f>
        <v>409.23295466666667</v>
      </c>
      <c r="H19" s="26" t="s">
        <v>62</v>
      </c>
      <c r="I19" s="17">
        <f>STDEV(C12:F12)</f>
        <v>160.9925691258419</v>
      </c>
      <c r="J19" s="17">
        <f>STDEV(G12:I12)</f>
        <v>117.3838766251268</v>
      </c>
      <c r="K19" s="17">
        <f>STDEV(J12:L12)</f>
        <v>51.628260385029222</v>
      </c>
      <c r="L19" s="17">
        <f>STDEV(M12:O12)</f>
        <v>86.243215853317366</v>
      </c>
      <c r="N19" s="26" t="s">
        <v>66</v>
      </c>
      <c r="O19" s="17">
        <f t="shared" ref="O19:O21" si="3">I19/SQRT(4)</f>
        <v>80.496284562920948</v>
      </c>
      <c r="P19" s="17">
        <f t="shared" ref="P19:P21" si="4">J19/SQRT(3)</f>
        <v>67.771612768038779</v>
      </c>
      <c r="Q19" s="17">
        <f t="shared" ref="Q19:Q21" si="5">K19/SQRT(3)</f>
        <v>29.807590031088715</v>
      </c>
      <c r="R19" s="17">
        <f t="shared" ref="R19:R21" si="6">L19/SQRT(3)</f>
        <v>49.792543888691782</v>
      </c>
    </row>
    <row r="20" spans="1:18" x14ac:dyDescent="0.2">
      <c r="A20" s="9"/>
      <c r="B20" s="26" t="s">
        <v>59</v>
      </c>
      <c r="C20" s="17">
        <f t="shared" si="0"/>
        <v>1224.4101762499999</v>
      </c>
      <c r="D20" s="17">
        <f>AVERAGE(G13:I13)</f>
        <v>624.75903266666671</v>
      </c>
      <c r="E20" s="17">
        <f t="shared" si="1"/>
        <v>631.83682199999998</v>
      </c>
      <c r="F20" s="17">
        <f t="shared" si="2"/>
        <v>1347.5214383333334</v>
      </c>
      <c r="H20" s="26" t="s">
        <v>63</v>
      </c>
      <c r="I20" s="17">
        <f>STDEV(C13:F13)</f>
        <v>767.19178299863518</v>
      </c>
      <c r="J20" s="17">
        <f>STDEV(G13:I13)</f>
        <v>338.83806709231948</v>
      </c>
      <c r="K20" s="17">
        <f>STDEV(J13:L13)</f>
        <v>398.18461200906984</v>
      </c>
      <c r="L20" s="17">
        <f>STDEV(M13:O13)</f>
        <v>743.42767193944746</v>
      </c>
      <c r="N20" s="26" t="s">
        <v>67</v>
      </c>
      <c r="O20" s="17">
        <f t="shared" si="3"/>
        <v>383.59589149931759</v>
      </c>
      <c r="P20" s="17">
        <f t="shared" si="4"/>
        <v>195.62824924744314</v>
      </c>
      <c r="Q20" s="17">
        <f t="shared" si="5"/>
        <v>229.89199293060318</v>
      </c>
      <c r="R20" s="17">
        <f t="shared" si="6"/>
        <v>429.2181665172568</v>
      </c>
    </row>
    <row r="21" spans="1:18" x14ac:dyDescent="0.2">
      <c r="A21" s="9"/>
      <c r="B21" s="26" t="s">
        <v>60</v>
      </c>
      <c r="C21" s="17">
        <f t="shared" si="0"/>
        <v>2036.5285465000002</v>
      </c>
      <c r="D21" s="17">
        <f>AVERAGE(G14:I14)</f>
        <v>1245.897962</v>
      </c>
      <c r="E21" s="17">
        <f t="shared" si="1"/>
        <v>564.72551233333331</v>
      </c>
      <c r="F21" s="17">
        <f t="shared" si="2"/>
        <v>1353.1112546666666</v>
      </c>
      <c r="H21" s="26" t="s">
        <v>64</v>
      </c>
      <c r="I21" s="17">
        <f>STDEV(C14:F14)</f>
        <v>1235.626161911224</v>
      </c>
      <c r="J21" s="17">
        <f>STDEV(G14:I14)</f>
        <v>738.66004923761943</v>
      </c>
      <c r="K21" s="17">
        <f>STDEV(J14:L14)</f>
        <v>346.65892909986411</v>
      </c>
      <c r="L21" s="17">
        <f>STDEV(M14:O14)</f>
        <v>1043.246562460901</v>
      </c>
      <c r="N21" s="26" t="s">
        <v>68</v>
      </c>
      <c r="O21" s="17">
        <f t="shared" si="3"/>
        <v>617.81308095561201</v>
      </c>
      <c r="P21" s="17">
        <f t="shared" si="4"/>
        <v>426.46557826696181</v>
      </c>
      <c r="Q21" s="17">
        <f t="shared" si="5"/>
        <v>200.14362603279395</v>
      </c>
      <c r="R21" s="17">
        <f t="shared" si="6"/>
        <v>602.318683667953</v>
      </c>
    </row>
    <row r="22" spans="1:18" x14ac:dyDescent="0.2">
      <c r="A22" s="9"/>
      <c r="B22" s="28"/>
    </row>
    <row r="23" spans="1:18" x14ac:dyDescent="0.2">
      <c r="A23" s="9"/>
    </row>
    <row r="24" spans="1:18" ht="18" x14ac:dyDescent="0.2">
      <c r="A24" s="9"/>
      <c r="B24" s="19" t="s">
        <v>52</v>
      </c>
      <c r="C24" s="20"/>
      <c r="D24" s="20"/>
      <c r="E24" s="20"/>
      <c r="F24" s="20"/>
      <c r="G24" s="20"/>
      <c r="H24" s="9"/>
    </row>
    <row r="25" spans="1:18" x14ac:dyDescent="0.2">
      <c r="A25" s="9"/>
      <c r="B25" s="9"/>
      <c r="C25" s="9"/>
      <c r="D25" s="9"/>
      <c r="E25" s="9"/>
      <c r="F25" s="9"/>
      <c r="G25" s="9"/>
      <c r="H25" s="9"/>
    </row>
    <row r="26" spans="1:18" x14ac:dyDescent="0.2">
      <c r="A26" s="9"/>
      <c r="B26" s="15" t="s">
        <v>56</v>
      </c>
      <c r="C26" s="9"/>
      <c r="D26" s="9"/>
      <c r="E26" s="9"/>
      <c r="F26" s="9"/>
      <c r="G26" s="9"/>
      <c r="H26" s="9"/>
    </row>
    <row r="27" spans="1:18" ht="60" x14ac:dyDescent="0.2">
      <c r="A27" s="9"/>
      <c r="B27" s="31" t="s">
        <v>69</v>
      </c>
      <c r="C27" s="32" t="s">
        <v>70</v>
      </c>
      <c r="D27" s="32" t="s">
        <v>36</v>
      </c>
      <c r="E27" s="32" t="s">
        <v>37</v>
      </c>
      <c r="F27" s="32" t="s">
        <v>47</v>
      </c>
      <c r="G27" s="32" t="s">
        <v>38</v>
      </c>
      <c r="H27" s="9"/>
    </row>
    <row r="28" spans="1:18" x14ac:dyDescent="0.2">
      <c r="A28" s="9"/>
      <c r="B28" s="2" t="s">
        <v>43</v>
      </c>
      <c r="C28" s="1">
        <v>8.0990000000000002</v>
      </c>
      <c r="D28" s="1">
        <v>0.32</v>
      </c>
      <c r="E28" s="1" t="s">
        <v>9</v>
      </c>
      <c r="F28" s="1" t="s">
        <v>49</v>
      </c>
      <c r="G28" s="1"/>
      <c r="H28" s="9"/>
    </row>
    <row r="29" spans="1:18" x14ac:dyDescent="0.2">
      <c r="A29" s="9"/>
      <c r="B29" s="2" t="s">
        <v>39</v>
      </c>
      <c r="C29" s="1">
        <v>39.83</v>
      </c>
      <c r="D29" s="46" t="s">
        <v>40</v>
      </c>
      <c r="E29" s="1" t="s">
        <v>10</v>
      </c>
      <c r="F29" s="1" t="s">
        <v>41</v>
      </c>
      <c r="G29" s="1">
        <v>0.43130000000000002</v>
      </c>
      <c r="H29" s="9"/>
    </row>
    <row r="30" spans="1:18" x14ac:dyDescent="0.2">
      <c r="A30" s="9"/>
      <c r="B30" s="2" t="s">
        <v>42</v>
      </c>
      <c r="C30" s="1">
        <v>11.13</v>
      </c>
      <c r="D30" s="1">
        <v>0.2</v>
      </c>
      <c r="E30" s="1" t="s">
        <v>9</v>
      </c>
      <c r="F30" s="1" t="s">
        <v>49</v>
      </c>
      <c r="G30" s="1"/>
      <c r="H30" s="9"/>
    </row>
    <row r="31" spans="1:18" x14ac:dyDescent="0.2">
      <c r="A31" s="9"/>
      <c r="B31" s="2" t="s">
        <v>71</v>
      </c>
      <c r="C31" s="1">
        <v>17.52</v>
      </c>
      <c r="D31" s="1">
        <v>0.02</v>
      </c>
      <c r="E31" s="1" t="s">
        <v>12</v>
      </c>
      <c r="F31" s="1" t="s">
        <v>41</v>
      </c>
      <c r="G31" s="1"/>
      <c r="H31" s="9"/>
    </row>
    <row r="32" spans="1:18" x14ac:dyDescent="0.2">
      <c r="A32" s="9"/>
    </row>
    <row r="33" spans="1:8" x14ac:dyDescent="0.2">
      <c r="A33" s="9"/>
      <c r="B33" s="15" t="s">
        <v>44</v>
      </c>
    </row>
    <row r="34" spans="1:8" x14ac:dyDescent="0.2">
      <c r="A34" s="9"/>
    </row>
    <row r="35" spans="1:8" ht="31" x14ac:dyDescent="0.2">
      <c r="B35" s="29" t="s">
        <v>44</v>
      </c>
      <c r="C35" s="30" t="s">
        <v>45</v>
      </c>
      <c r="D35" s="30" t="s">
        <v>46</v>
      </c>
      <c r="E35" s="30" t="s">
        <v>47</v>
      </c>
      <c r="F35" s="30" t="s">
        <v>48</v>
      </c>
      <c r="G35" s="30" t="s">
        <v>5</v>
      </c>
    </row>
    <row r="36" spans="1:8" x14ac:dyDescent="0.2">
      <c r="B36" s="2"/>
      <c r="C36" s="1"/>
      <c r="D36" s="1"/>
      <c r="E36" s="1"/>
      <c r="F36" s="1"/>
      <c r="G36" s="1"/>
    </row>
    <row r="37" spans="1:8" x14ac:dyDescent="0.2">
      <c r="B37" s="2" t="s">
        <v>17</v>
      </c>
      <c r="C37" s="1"/>
      <c r="D37" s="1"/>
      <c r="E37" s="1"/>
      <c r="F37" s="1"/>
      <c r="G37" s="1"/>
    </row>
    <row r="38" spans="1:8" x14ac:dyDescent="0.2">
      <c r="B38" s="2" t="s">
        <v>6</v>
      </c>
      <c r="C38" s="1">
        <v>537</v>
      </c>
      <c r="D38" s="1" t="s">
        <v>72</v>
      </c>
      <c r="E38" s="1" t="s">
        <v>41</v>
      </c>
      <c r="F38" s="1" t="s">
        <v>11</v>
      </c>
      <c r="G38" s="1">
        <v>8.9999999999999993E-3</v>
      </c>
    </row>
    <row r="39" spans="1:8" x14ac:dyDescent="0.2">
      <c r="B39" s="2" t="s">
        <v>7</v>
      </c>
      <c r="C39" s="1">
        <v>611</v>
      </c>
      <c r="D39" s="1" t="s">
        <v>73</v>
      </c>
      <c r="E39" s="1" t="s">
        <v>41</v>
      </c>
      <c r="F39" s="1" t="s">
        <v>11</v>
      </c>
      <c r="G39" s="1">
        <v>6.0000000000000001E-3</v>
      </c>
    </row>
    <row r="40" spans="1:8" x14ac:dyDescent="0.2">
      <c r="B40" s="2" t="s">
        <v>8</v>
      </c>
      <c r="C40" s="1">
        <v>458.6</v>
      </c>
      <c r="D40" s="1" t="s">
        <v>74</v>
      </c>
      <c r="E40" s="1" t="s">
        <v>41</v>
      </c>
      <c r="F40" s="1" t="s">
        <v>12</v>
      </c>
      <c r="G40" s="1">
        <v>0.01</v>
      </c>
    </row>
    <row r="41" spans="1:8" x14ac:dyDescent="0.2">
      <c r="B41" s="2"/>
      <c r="C41" s="1"/>
      <c r="D41" s="1"/>
      <c r="E41" s="1"/>
      <c r="F41" s="1"/>
      <c r="G41" s="1"/>
    </row>
    <row r="42" spans="1:8" x14ac:dyDescent="0.2">
      <c r="B42" s="2" t="s">
        <v>18</v>
      </c>
      <c r="C42" s="1"/>
      <c r="D42" s="1"/>
      <c r="E42" s="1"/>
      <c r="F42" s="1"/>
      <c r="G42" s="1"/>
    </row>
    <row r="43" spans="1:8" x14ac:dyDescent="0.2">
      <c r="B43" s="2" t="s">
        <v>6</v>
      </c>
      <c r="C43" s="1">
        <v>599.70000000000005</v>
      </c>
      <c r="D43" s="1" t="s">
        <v>75</v>
      </c>
      <c r="E43" s="1" t="s">
        <v>49</v>
      </c>
      <c r="F43" s="1" t="s">
        <v>9</v>
      </c>
      <c r="G43" s="1">
        <v>0.46</v>
      </c>
    </row>
    <row r="44" spans="1:8" x14ac:dyDescent="0.2">
      <c r="B44" s="2" t="s">
        <v>7</v>
      </c>
      <c r="C44" s="1">
        <v>592.6</v>
      </c>
      <c r="D44" s="1" t="s">
        <v>76</v>
      </c>
      <c r="E44" s="1" t="s">
        <v>49</v>
      </c>
      <c r="F44" s="1" t="s">
        <v>9</v>
      </c>
      <c r="G44" s="1">
        <v>0.49</v>
      </c>
    </row>
    <row r="45" spans="1:8" x14ac:dyDescent="0.2">
      <c r="B45" s="2" t="s">
        <v>8</v>
      </c>
      <c r="C45" s="1">
        <v>-123.1</v>
      </c>
      <c r="D45" s="1" t="s">
        <v>77</v>
      </c>
      <c r="E45" s="1" t="s">
        <v>49</v>
      </c>
      <c r="F45" s="1" t="s">
        <v>9</v>
      </c>
      <c r="G45" s="46" t="s">
        <v>50</v>
      </c>
    </row>
    <row r="46" spans="1:8" x14ac:dyDescent="0.2">
      <c r="B46" s="2"/>
      <c r="C46" s="1"/>
      <c r="D46" s="1"/>
      <c r="E46" s="1"/>
      <c r="F46" s="1"/>
      <c r="G46" s="1"/>
      <c r="H46" s="9"/>
    </row>
    <row r="47" spans="1:8" x14ac:dyDescent="0.2">
      <c r="B47" s="2" t="s">
        <v>19</v>
      </c>
      <c r="C47" s="1"/>
      <c r="D47" s="1"/>
      <c r="E47" s="1"/>
      <c r="F47" s="1"/>
      <c r="G47" s="1"/>
      <c r="H47" s="9"/>
    </row>
    <row r="48" spans="1:8" x14ac:dyDescent="0.2">
      <c r="B48" s="2" t="s">
        <v>6</v>
      </c>
      <c r="C48" s="1">
        <v>790.6</v>
      </c>
      <c r="D48" s="1" t="s">
        <v>78</v>
      </c>
      <c r="E48" s="1" t="s">
        <v>49</v>
      </c>
      <c r="F48" s="1" t="s">
        <v>9</v>
      </c>
      <c r="G48" s="1">
        <v>0.64</v>
      </c>
      <c r="H48" s="9"/>
    </row>
    <row r="49" spans="1:18" x14ac:dyDescent="0.2">
      <c r="B49" s="2" t="s">
        <v>7</v>
      </c>
      <c r="C49" s="1">
        <v>1472</v>
      </c>
      <c r="D49" s="1" t="s">
        <v>79</v>
      </c>
      <c r="E49" s="1" t="s">
        <v>49</v>
      </c>
      <c r="F49" s="1" t="s">
        <v>9</v>
      </c>
      <c r="G49" s="1">
        <v>0.2</v>
      </c>
      <c r="H49" s="9"/>
    </row>
    <row r="50" spans="1:18" x14ac:dyDescent="0.2">
      <c r="B50" s="2" t="s">
        <v>8</v>
      </c>
      <c r="C50" s="1">
        <v>683.4</v>
      </c>
      <c r="D50" s="1" t="s">
        <v>80</v>
      </c>
      <c r="E50" s="1" t="s">
        <v>49</v>
      </c>
      <c r="F50" s="1" t="s">
        <v>9</v>
      </c>
      <c r="G50" s="1">
        <v>0.79</v>
      </c>
      <c r="H50" s="9"/>
    </row>
    <row r="51" spans="1:18" x14ac:dyDescent="0.2">
      <c r="H51" s="9"/>
    </row>
    <row r="54" spans="1:18" ht="18" x14ac:dyDescent="0.2">
      <c r="A54" s="14" t="s">
        <v>178</v>
      </c>
    </row>
    <row r="57" spans="1:18" x14ac:dyDescent="0.2">
      <c r="B57" s="66"/>
      <c r="C57" s="535" t="s">
        <v>203</v>
      </c>
      <c r="D57" s="535"/>
      <c r="E57" s="535"/>
      <c r="F57" s="535"/>
      <c r="G57" s="535"/>
      <c r="H57" s="535"/>
      <c r="I57" s="504" t="s">
        <v>2</v>
      </c>
      <c r="J57" s="505"/>
      <c r="K57" s="506"/>
      <c r="L57" s="504" t="s">
        <v>3</v>
      </c>
      <c r="M57" s="505"/>
      <c r="N57" s="506"/>
      <c r="O57" s="504" t="s">
        <v>4</v>
      </c>
      <c r="P57" s="505"/>
      <c r="Q57" s="506"/>
      <c r="R57" s="66"/>
    </row>
    <row r="58" spans="1:18" x14ac:dyDescent="0.2">
      <c r="B58" s="136"/>
      <c r="C58" s="185" t="s">
        <v>32</v>
      </c>
      <c r="D58" s="185" t="s">
        <v>33</v>
      </c>
      <c r="E58" s="185" t="s">
        <v>34</v>
      </c>
      <c r="F58" s="185" t="s">
        <v>35</v>
      </c>
      <c r="G58" s="185" t="s">
        <v>81</v>
      </c>
      <c r="H58" s="185" t="s">
        <v>169</v>
      </c>
      <c r="I58" s="185" t="s">
        <v>32</v>
      </c>
      <c r="J58" s="185" t="s">
        <v>33</v>
      </c>
      <c r="K58" s="185" t="s">
        <v>34</v>
      </c>
      <c r="L58" s="185" t="s">
        <v>32</v>
      </c>
      <c r="M58" s="185" t="s">
        <v>33</v>
      </c>
      <c r="N58" s="185" t="s">
        <v>34</v>
      </c>
      <c r="O58" s="185" t="s">
        <v>32</v>
      </c>
      <c r="P58" s="185" t="s">
        <v>33</v>
      </c>
      <c r="Q58" s="185" t="s">
        <v>34</v>
      </c>
      <c r="R58" s="66"/>
    </row>
    <row r="59" spans="1:18" x14ac:dyDescent="0.2">
      <c r="B59" s="186" t="s">
        <v>21</v>
      </c>
      <c r="C59" s="54">
        <v>1</v>
      </c>
      <c r="D59" s="54">
        <v>1</v>
      </c>
      <c r="E59" s="54">
        <v>1</v>
      </c>
      <c r="F59" s="54">
        <v>1</v>
      </c>
      <c r="G59" s="54">
        <v>1</v>
      </c>
      <c r="H59" s="54">
        <v>1</v>
      </c>
      <c r="I59" s="54">
        <v>1</v>
      </c>
      <c r="J59" s="54">
        <v>1</v>
      </c>
      <c r="K59" s="54">
        <v>1</v>
      </c>
      <c r="L59" s="54">
        <v>1</v>
      </c>
      <c r="M59" s="54">
        <v>1</v>
      </c>
      <c r="N59" s="54">
        <v>1</v>
      </c>
      <c r="O59" s="54">
        <v>1</v>
      </c>
      <c r="P59" s="54">
        <v>1</v>
      </c>
      <c r="Q59" s="54">
        <v>1</v>
      </c>
      <c r="R59" s="66"/>
    </row>
    <row r="60" spans="1:18" x14ac:dyDescent="0.2">
      <c r="B60" s="186" t="s">
        <v>22</v>
      </c>
      <c r="C60" s="54">
        <v>6.8041441000000003</v>
      </c>
      <c r="D60" s="54">
        <v>26.293436</v>
      </c>
      <c r="E60" s="54">
        <v>25.465865000000001</v>
      </c>
      <c r="F60" s="54">
        <v>10.222197</v>
      </c>
      <c r="G60" s="54">
        <v>15.342824</v>
      </c>
      <c r="H60" s="54">
        <v>6.6520798000000001</v>
      </c>
      <c r="I60" s="54">
        <v>3.3699596000000001</v>
      </c>
      <c r="J60" s="54">
        <v>3.5752929999999998</v>
      </c>
      <c r="K60" s="54">
        <v>2.8760956000000002</v>
      </c>
      <c r="L60" s="54">
        <v>3.9128867000000001</v>
      </c>
      <c r="M60" s="54">
        <v>2.6681062999999998</v>
      </c>
      <c r="N60" s="54">
        <v>3.2388439999999998</v>
      </c>
      <c r="O60" s="54">
        <v>2.6203023999999999</v>
      </c>
      <c r="P60" s="54">
        <v>0.97429690000000002</v>
      </c>
      <c r="Q60" s="54">
        <v>0.41366459999999999</v>
      </c>
      <c r="R60" s="66"/>
    </row>
    <row r="61" spans="1:18" x14ac:dyDescent="0.2">
      <c r="B61" s="186" t="s">
        <v>23</v>
      </c>
      <c r="C61" s="54">
        <v>21.64536</v>
      </c>
      <c r="D61" s="54">
        <v>11.868176</v>
      </c>
      <c r="E61" s="54">
        <v>11.040283000000001</v>
      </c>
      <c r="F61" s="54">
        <v>26.968904999999999</v>
      </c>
      <c r="G61" s="54">
        <v>38.163623000000001</v>
      </c>
      <c r="H61" s="54">
        <v>21.299372300000002</v>
      </c>
      <c r="I61" s="54">
        <v>3.8223813</v>
      </c>
      <c r="J61" s="54">
        <v>3.8032846999999999</v>
      </c>
      <c r="K61" s="54">
        <v>3.2839448999999998</v>
      </c>
      <c r="L61" s="54">
        <v>7.2660942000000004</v>
      </c>
      <c r="M61" s="54">
        <v>8.5652840000000001</v>
      </c>
      <c r="N61" s="54">
        <v>7.6638092999999996</v>
      </c>
      <c r="O61" s="54">
        <v>2.9688070999999998</v>
      </c>
      <c r="P61" s="54">
        <v>0.70700059999999998</v>
      </c>
      <c r="Q61" s="54">
        <v>0.13439799999999999</v>
      </c>
      <c r="R61" s="66"/>
    </row>
    <row r="62" spans="1:18" x14ac:dyDescent="0.2">
      <c r="B62" s="186" t="s">
        <v>24</v>
      </c>
      <c r="C62" s="54">
        <v>51.997965520000001</v>
      </c>
      <c r="D62" s="54">
        <v>50.583494459999997</v>
      </c>
      <c r="E62" s="54">
        <v>58.098632530000003</v>
      </c>
      <c r="F62" s="54">
        <v>71.480136860000002</v>
      </c>
      <c r="G62" s="54">
        <v>92.766846540000003</v>
      </c>
      <c r="H62" s="54">
        <v>62.235199999999999</v>
      </c>
      <c r="I62" s="54">
        <v>5.8550574769999999</v>
      </c>
      <c r="J62" s="54">
        <v>8.7904275270000003</v>
      </c>
      <c r="K62" s="54">
        <v>11.02596138</v>
      </c>
      <c r="L62" s="54">
        <v>18.203024280000001</v>
      </c>
      <c r="M62" s="54">
        <v>15.974299999999999</v>
      </c>
      <c r="N62" s="54">
        <v>41.36645789</v>
      </c>
      <c r="O62" s="54">
        <v>25.65304892</v>
      </c>
      <c r="P62" s="54">
        <v>38.283957979999997</v>
      </c>
      <c r="Q62" s="54">
        <v>6.9075111790000001</v>
      </c>
      <c r="R62" s="66"/>
    </row>
    <row r="63" spans="1:18" x14ac:dyDescent="0.2">
      <c r="B63" s="131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2"/>
      <c r="Q63" s="42"/>
      <c r="R63" s="42"/>
    </row>
    <row r="64" spans="1:18" x14ac:dyDescent="0.2"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</row>
    <row r="65" spans="2:18" x14ac:dyDescent="0.2">
      <c r="B65" s="42"/>
      <c r="C65" s="18" t="s">
        <v>1</v>
      </c>
      <c r="D65" s="18" t="s">
        <v>2</v>
      </c>
      <c r="E65" s="18" t="s">
        <v>3</v>
      </c>
      <c r="F65" s="18" t="s">
        <v>4</v>
      </c>
      <c r="G65" s="42"/>
      <c r="H65" s="42"/>
      <c r="I65" s="18" t="s">
        <v>1</v>
      </c>
      <c r="J65" s="18" t="s">
        <v>2</v>
      </c>
      <c r="K65" s="18" t="s">
        <v>3</v>
      </c>
      <c r="L65" s="18" t="s">
        <v>4</v>
      </c>
      <c r="M65" s="42"/>
      <c r="N65" s="42"/>
      <c r="O65" s="18" t="s">
        <v>1</v>
      </c>
      <c r="P65" s="18" t="s">
        <v>2</v>
      </c>
      <c r="Q65" s="18" t="s">
        <v>3</v>
      </c>
      <c r="R65" s="18" t="s">
        <v>4</v>
      </c>
    </row>
    <row r="66" spans="2:18" x14ac:dyDescent="0.2">
      <c r="B66" s="187" t="s">
        <v>58</v>
      </c>
      <c r="C66" s="55">
        <f>AVERAGE(C59:H59)</f>
        <v>1</v>
      </c>
      <c r="D66" s="55">
        <f>AVERAGE(I59:K59)</f>
        <v>1</v>
      </c>
      <c r="E66" s="55">
        <f>AVERAGE(L59:N59)</f>
        <v>1</v>
      </c>
      <c r="F66" s="55">
        <f>AVERAGE(O59:Q59)</f>
        <v>1</v>
      </c>
      <c r="G66" s="42"/>
      <c r="H66" s="187" t="s">
        <v>61</v>
      </c>
      <c r="I66" s="55">
        <f>STDEV(C59:H59)</f>
        <v>0</v>
      </c>
      <c r="J66" s="55">
        <f>STDEV(I59:K59)</f>
        <v>0</v>
      </c>
      <c r="K66" s="55">
        <f>STDEV(L59:N59)</f>
        <v>0</v>
      </c>
      <c r="L66" s="55">
        <f>STDEV(O59:Q59)</f>
        <v>0</v>
      </c>
      <c r="M66" s="42"/>
      <c r="N66" s="187" t="s">
        <v>65</v>
      </c>
      <c r="O66" s="55">
        <f t="shared" ref="O66" si="7">I66/SQRT(6)</f>
        <v>0</v>
      </c>
      <c r="P66" s="55">
        <f t="shared" ref="P66:R69" si="8">J66/SQRT(3)</f>
        <v>0</v>
      </c>
      <c r="Q66" s="55">
        <f t="shared" si="8"/>
        <v>0</v>
      </c>
      <c r="R66" s="55">
        <f t="shared" si="8"/>
        <v>0</v>
      </c>
    </row>
    <row r="67" spans="2:18" x14ac:dyDescent="0.2">
      <c r="B67" s="187" t="s">
        <v>57</v>
      </c>
      <c r="C67" s="55">
        <f>AVERAGE(C60:H60)</f>
        <v>15.130090983333332</v>
      </c>
      <c r="D67" s="55">
        <f>AVERAGE(I60:K60)</f>
        <v>3.2737827333333329</v>
      </c>
      <c r="E67" s="55">
        <f>AVERAGE(L60:N60)</f>
        <v>3.273279</v>
      </c>
      <c r="F67" s="55">
        <f>AVERAGE(O60:Q60)</f>
        <v>1.3360879666666667</v>
      </c>
      <c r="G67" s="42"/>
      <c r="H67" s="187" t="s">
        <v>62</v>
      </c>
      <c r="I67" s="55">
        <f>STDEV(C60:H60)</f>
        <v>8.9081899429858549</v>
      </c>
      <c r="J67" s="55">
        <f>STDEV(I60:K60)</f>
        <v>0.35938383839991084</v>
      </c>
      <c r="K67" s="55">
        <f>STDEV(L60:N60)</f>
        <v>0.62310423524061309</v>
      </c>
      <c r="L67" s="55">
        <f>STDEV(O60:Q60)</f>
        <v>1.1469447140281273</v>
      </c>
      <c r="M67" s="42"/>
      <c r="N67" s="187" t="s">
        <v>66</v>
      </c>
      <c r="O67" s="55">
        <f>I67/SQRT(6)</f>
        <v>3.6367533153513527</v>
      </c>
      <c r="P67" s="55">
        <f t="shared" si="8"/>
        <v>0.20749035584258949</v>
      </c>
      <c r="Q67" s="55">
        <f t="shared" si="8"/>
        <v>0.35974939794936389</v>
      </c>
      <c r="R67" s="55">
        <f t="shared" si="8"/>
        <v>0.6621888393897577</v>
      </c>
    </row>
    <row r="68" spans="2:18" x14ac:dyDescent="0.2">
      <c r="B68" s="187" t="s">
        <v>59</v>
      </c>
      <c r="C68" s="55">
        <f>AVERAGE(C61:H61)</f>
        <v>21.830953216666671</v>
      </c>
      <c r="D68" s="55">
        <f>AVERAGE(I61:K61)</f>
        <v>3.6365369666666667</v>
      </c>
      <c r="E68" s="55">
        <f>AVERAGE(L61:N61)</f>
        <v>7.8317291666666664</v>
      </c>
      <c r="F68" s="55">
        <f>AVERAGE(O61:Q61)</f>
        <v>1.2700685666666667</v>
      </c>
      <c r="G68" s="42"/>
      <c r="H68" s="187" t="s">
        <v>63</v>
      </c>
      <c r="I68" s="55">
        <f>STDEV(C61:H61)</f>
        <v>10.091255298386754</v>
      </c>
      <c r="J68" s="55">
        <f>STDEV(I61:K61)</f>
        <v>0.30550293638538623</v>
      </c>
      <c r="K68" s="55">
        <f>STDEV(L61:N61)</f>
        <v>0.66567360269280873</v>
      </c>
      <c r="L68" s="55">
        <f>STDEV(O61:Q61)</f>
        <v>1.498750442153497</v>
      </c>
      <c r="M68" s="42"/>
      <c r="N68" s="187" t="s">
        <v>67</v>
      </c>
      <c r="O68" s="55">
        <f>I68/SQRT(6)</f>
        <v>4.1197377242007924</v>
      </c>
      <c r="P68" s="55">
        <f t="shared" si="8"/>
        <v>0.17638220256032386</v>
      </c>
      <c r="Q68" s="55">
        <f t="shared" si="8"/>
        <v>0.38432683370712112</v>
      </c>
      <c r="R68" s="55">
        <f t="shared" si="8"/>
        <v>0.86530397122539215</v>
      </c>
    </row>
    <row r="69" spans="2:18" x14ac:dyDescent="0.2">
      <c r="B69" s="187" t="s">
        <v>60</v>
      </c>
      <c r="C69" s="55">
        <f>AVERAGE(C62:H62)</f>
        <v>64.527045985000015</v>
      </c>
      <c r="D69" s="55">
        <f>AVERAGE(I62:K62)</f>
        <v>8.5571487946666664</v>
      </c>
      <c r="E69" s="55">
        <f>AVERAGE(L62:N62)</f>
        <v>25.181260723333335</v>
      </c>
      <c r="F69" s="55">
        <f>AVERAGE(O62:Q62)</f>
        <v>23.614839359666664</v>
      </c>
      <c r="G69" s="42"/>
      <c r="H69" s="187" t="s">
        <v>64</v>
      </c>
      <c r="I69" s="55">
        <f>STDEV(C62:H62)</f>
        <v>15.772186608700405</v>
      </c>
      <c r="J69" s="55">
        <f>STDEV(I62:K62)</f>
        <v>2.5933329941861403</v>
      </c>
      <c r="K69" s="55">
        <f>STDEV(L62:N62)</f>
        <v>14.061019112140178</v>
      </c>
      <c r="L69" s="55">
        <f>STDEV(O62:Q62)</f>
        <v>15.787212455746305</v>
      </c>
      <c r="M69" s="42"/>
      <c r="N69" s="187" t="s">
        <v>68</v>
      </c>
      <c r="O69" s="55">
        <f>I69/SQRT(6)</f>
        <v>6.4389682198789746</v>
      </c>
      <c r="P69" s="55">
        <f t="shared" si="8"/>
        <v>1.4972615022917064</v>
      </c>
      <c r="Q69" s="55">
        <f t="shared" si="8"/>
        <v>8.1181331694746053</v>
      </c>
      <c r="R69" s="55">
        <f t="shared" si="8"/>
        <v>9.1147513610789428</v>
      </c>
    </row>
    <row r="72" spans="2:18" ht="18" x14ac:dyDescent="0.2">
      <c r="B72" s="19" t="s">
        <v>52</v>
      </c>
      <c r="C72" s="20"/>
      <c r="D72" s="20"/>
      <c r="E72" s="20"/>
      <c r="F72" s="20"/>
      <c r="G72" s="20"/>
    </row>
    <row r="73" spans="2:18" x14ac:dyDescent="0.2">
      <c r="B73" s="9"/>
      <c r="C73" s="9"/>
      <c r="D73" s="9"/>
      <c r="E73" s="9"/>
      <c r="F73" s="9"/>
      <c r="G73" s="9"/>
    </row>
    <row r="74" spans="2:18" x14ac:dyDescent="0.2">
      <c r="B74" s="15" t="s">
        <v>56</v>
      </c>
      <c r="C74" s="9"/>
      <c r="D74" s="9"/>
      <c r="E74" s="9"/>
      <c r="F74" s="9"/>
      <c r="G74" s="9"/>
      <c r="H74" s="9"/>
    </row>
    <row r="75" spans="2:18" ht="60" x14ac:dyDescent="0.2">
      <c r="B75" s="31" t="s">
        <v>69</v>
      </c>
      <c r="C75" s="32" t="s">
        <v>70</v>
      </c>
      <c r="D75" s="32" t="s">
        <v>36</v>
      </c>
      <c r="E75" s="32" t="s">
        <v>37</v>
      </c>
      <c r="F75" s="32" t="s">
        <v>47</v>
      </c>
      <c r="G75" s="32" t="s">
        <v>38</v>
      </c>
      <c r="H75" s="9"/>
    </row>
    <row r="76" spans="2:18" x14ac:dyDescent="0.2">
      <c r="B76" s="2" t="s">
        <v>43</v>
      </c>
      <c r="C76" s="1">
        <v>18.18</v>
      </c>
      <c r="D76" s="1" t="s">
        <v>40</v>
      </c>
      <c r="E76" s="1" t="s">
        <v>10</v>
      </c>
      <c r="F76" s="1" t="s">
        <v>41</v>
      </c>
      <c r="G76" s="1"/>
      <c r="H76" s="52"/>
    </row>
    <row r="77" spans="2:18" x14ac:dyDescent="0.2">
      <c r="B77" s="2" t="s">
        <v>39</v>
      </c>
      <c r="C77" s="1">
        <v>29.07</v>
      </c>
      <c r="D77" s="1" t="s">
        <v>40</v>
      </c>
      <c r="E77" s="1" t="s">
        <v>10</v>
      </c>
      <c r="F77" s="1" t="s">
        <v>41</v>
      </c>
      <c r="G77" s="1">
        <v>0.52739999999999998</v>
      </c>
      <c r="H77" s="9"/>
    </row>
    <row r="78" spans="2:18" x14ac:dyDescent="0.2">
      <c r="B78" s="2" t="s">
        <v>42</v>
      </c>
      <c r="C78" s="1">
        <v>21.94</v>
      </c>
      <c r="D78" s="1" t="s">
        <v>40</v>
      </c>
      <c r="E78" s="1" t="s">
        <v>10</v>
      </c>
      <c r="F78" s="1" t="s">
        <v>41</v>
      </c>
      <c r="G78" s="1"/>
      <c r="H78" s="9"/>
    </row>
    <row r="79" spans="2:18" x14ac:dyDescent="0.2">
      <c r="B79" s="2" t="s">
        <v>71</v>
      </c>
      <c r="C79" s="1">
        <v>3.9359999999999999</v>
      </c>
      <c r="D79" s="1">
        <v>0.24</v>
      </c>
      <c r="E79" s="1" t="s">
        <v>9</v>
      </c>
      <c r="F79" s="1" t="s">
        <v>49</v>
      </c>
      <c r="G79" s="1"/>
      <c r="H79" s="9"/>
    </row>
    <row r="80" spans="2:18" x14ac:dyDescent="0.2">
      <c r="H80" s="9"/>
    </row>
    <row r="81" spans="2:8" x14ac:dyDescent="0.2">
      <c r="B81" s="15" t="s">
        <v>44</v>
      </c>
      <c r="H81" s="9"/>
    </row>
    <row r="82" spans="2:8" x14ac:dyDescent="0.2">
      <c r="H82" s="9"/>
    </row>
    <row r="83" spans="2:8" ht="31" x14ac:dyDescent="0.2">
      <c r="B83" s="29" t="s">
        <v>44</v>
      </c>
      <c r="C83" s="30" t="s">
        <v>45</v>
      </c>
      <c r="D83" s="30" t="s">
        <v>46</v>
      </c>
      <c r="E83" s="30" t="s">
        <v>47</v>
      </c>
      <c r="F83" s="30" t="s">
        <v>48</v>
      </c>
      <c r="G83" s="30" t="s">
        <v>5</v>
      </c>
      <c r="H83" s="9"/>
    </row>
    <row r="84" spans="2:8" x14ac:dyDescent="0.2">
      <c r="B84" s="2"/>
      <c r="C84" s="1"/>
      <c r="D84" s="1"/>
      <c r="E84" s="1"/>
      <c r="F84" s="1"/>
      <c r="G84" s="1"/>
      <c r="H84" s="9"/>
    </row>
    <row r="85" spans="2:8" x14ac:dyDescent="0.2">
      <c r="B85" s="2" t="s">
        <v>22</v>
      </c>
      <c r="C85" s="1"/>
      <c r="D85" s="1"/>
      <c r="E85" s="1"/>
      <c r="F85" s="1"/>
      <c r="G85" s="1"/>
      <c r="H85" s="9"/>
    </row>
    <row r="86" spans="2:8" x14ac:dyDescent="0.2">
      <c r="B86" s="2" t="s">
        <v>6</v>
      </c>
      <c r="C86" s="1">
        <v>11.86</v>
      </c>
      <c r="D86" s="1" t="s">
        <v>698</v>
      </c>
      <c r="E86" s="1" t="s">
        <v>49</v>
      </c>
      <c r="F86" s="1" t="s">
        <v>9</v>
      </c>
      <c r="G86" s="1">
        <v>0.06</v>
      </c>
      <c r="H86" s="9"/>
    </row>
    <row r="87" spans="2:8" x14ac:dyDescent="0.2">
      <c r="B87" s="2" t="s">
        <v>7</v>
      </c>
      <c r="C87" s="1">
        <v>11.86</v>
      </c>
      <c r="D87" s="1" t="s">
        <v>699</v>
      </c>
      <c r="E87" s="1" t="s">
        <v>49</v>
      </c>
      <c r="F87" s="1" t="s">
        <v>9</v>
      </c>
      <c r="G87" s="1">
        <v>0.05</v>
      </c>
      <c r="H87" s="9"/>
    </row>
    <row r="88" spans="2:8" x14ac:dyDescent="0.2">
      <c r="B88" s="2" t="s">
        <v>8</v>
      </c>
      <c r="C88" s="1">
        <v>13.79</v>
      </c>
      <c r="D88" s="1" t="s">
        <v>700</v>
      </c>
      <c r="E88" s="1" t="s">
        <v>41</v>
      </c>
      <c r="F88" s="1" t="s">
        <v>12</v>
      </c>
      <c r="G88" s="1">
        <v>0.03</v>
      </c>
      <c r="H88" s="9"/>
    </row>
    <row r="89" spans="2:8" x14ac:dyDescent="0.2">
      <c r="B89" s="2"/>
      <c r="C89" s="1"/>
      <c r="D89" s="1"/>
      <c r="E89" s="1"/>
      <c r="F89" s="1"/>
      <c r="G89" s="1"/>
      <c r="H89" s="9"/>
    </row>
    <row r="90" spans="2:8" x14ac:dyDescent="0.2">
      <c r="B90" s="2" t="s">
        <v>23</v>
      </c>
      <c r="C90" s="1"/>
      <c r="D90" s="1"/>
      <c r="E90" s="1"/>
      <c r="F90" s="1"/>
      <c r="G90" s="1"/>
      <c r="H90" s="9"/>
    </row>
    <row r="91" spans="2:8" x14ac:dyDescent="0.2">
      <c r="B91" s="2" t="s">
        <v>6</v>
      </c>
      <c r="C91" s="1">
        <v>18.190000000000001</v>
      </c>
      <c r="D91" s="1" t="s">
        <v>701</v>
      </c>
      <c r="E91" s="1" t="s">
        <v>41</v>
      </c>
      <c r="F91" s="1" t="s">
        <v>12</v>
      </c>
      <c r="G91" s="1">
        <v>0.02</v>
      </c>
      <c r="H91" s="9"/>
    </row>
    <row r="92" spans="2:8" x14ac:dyDescent="0.2">
      <c r="B92" s="2" t="s">
        <v>7</v>
      </c>
      <c r="C92" s="1">
        <v>14</v>
      </c>
      <c r="D92" s="1" t="s">
        <v>702</v>
      </c>
      <c r="E92" s="1" t="s">
        <v>41</v>
      </c>
      <c r="F92" s="1" t="s">
        <v>12</v>
      </c>
      <c r="G92" s="1">
        <v>0.05</v>
      </c>
      <c r="H92" s="9"/>
    </row>
    <row r="93" spans="2:8" x14ac:dyDescent="0.2">
      <c r="B93" s="2" t="s">
        <v>8</v>
      </c>
      <c r="C93" s="1">
        <v>20.56</v>
      </c>
      <c r="D93" s="1" t="s">
        <v>703</v>
      </c>
      <c r="E93" s="1" t="s">
        <v>41</v>
      </c>
      <c r="F93" s="1" t="s">
        <v>11</v>
      </c>
      <c r="G93" s="1">
        <v>8.9999999999999993E-3</v>
      </c>
      <c r="H93" s="9"/>
    </row>
    <row r="94" spans="2:8" x14ac:dyDescent="0.2">
      <c r="B94" s="2"/>
      <c r="C94" s="1"/>
      <c r="D94" s="1"/>
      <c r="E94" s="1"/>
      <c r="F94" s="1"/>
      <c r="G94" s="1"/>
      <c r="H94" s="9"/>
    </row>
    <row r="95" spans="2:8" x14ac:dyDescent="0.2">
      <c r="B95" s="2" t="s">
        <v>24</v>
      </c>
      <c r="C95" s="1"/>
      <c r="D95" s="1"/>
      <c r="E95" s="1"/>
      <c r="F95" s="1"/>
      <c r="G95" s="1"/>
      <c r="H95" s="9"/>
    </row>
    <row r="96" spans="2:8" x14ac:dyDescent="0.2">
      <c r="B96" s="2" t="s">
        <v>6</v>
      </c>
      <c r="C96" s="1">
        <v>55.97</v>
      </c>
      <c r="D96" s="1" t="s">
        <v>704</v>
      </c>
      <c r="E96" s="1" t="s">
        <v>41</v>
      </c>
      <c r="F96" s="1" t="s">
        <v>10</v>
      </c>
      <c r="G96" s="1" t="s">
        <v>40</v>
      </c>
      <c r="H96" s="9"/>
    </row>
    <row r="97" spans="1:19" x14ac:dyDescent="0.2">
      <c r="B97" s="2" t="s">
        <v>7</v>
      </c>
      <c r="C97" s="1">
        <v>39.35</v>
      </c>
      <c r="D97" s="1" t="s">
        <v>705</v>
      </c>
      <c r="E97" s="1" t="s">
        <v>41</v>
      </c>
      <c r="F97" s="1" t="s">
        <v>12</v>
      </c>
      <c r="G97" s="1">
        <v>0.04</v>
      </c>
      <c r="H97" s="9"/>
    </row>
    <row r="98" spans="1:19" x14ac:dyDescent="0.2">
      <c r="B98" s="2" t="s">
        <v>8</v>
      </c>
      <c r="C98" s="1">
        <v>40.909999999999997</v>
      </c>
      <c r="D98" s="1" t="s">
        <v>706</v>
      </c>
      <c r="E98" s="1" t="s">
        <v>41</v>
      </c>
      <c r="F98" s="1" t="s">
        <v>12</v>
      </c>
      <c r="G98" s="1">
        <v>0.05</v>
      </c>
      <c r="H98" s="9"/>
    </row>
    <row r="99" spans="1:19" x14ac:dyDescent="0.2">
      <c r="B99" s="169"/>
      <c r="C99" s="170"/>
      <c r="D99" s="170"/>
      <c r="E99" s="170"/>
      <c r="F99" s="170"/>
      <c r="G99" s="170"/>
      <c r="H99" s="9"/>
    </row>
    <row r="100" spans="1:19" x14ac:dyDescent="0.2">
      <c r="B100" s="169"/>
      <c r="C100" s="170"/>
      <c r="D100" s="170"/>
      <c r="E100" s="170"/>
      <c r="F100" s="170"/>
      <c r="G100" s="170"/>
      <c r="H100" s="9"/>
    </row>
    <row r="101" spans="1:19" x14ac:dyDescent="0.2">
      <c r="B101" s="169"/>
      <c r="C101" s="170"/>
      <c r="D101" s="170"/>
      <c r="E101" s="170"/>
      <c r="F101" s="170"/>
      <c r="G101" s="170"/>
      <c r="H101" s="9"/>
    </row>
    <row r="102" spans="1:19" ht="18" x14ac:dyDescent="0.2">
      <c r="A102" s="14" t="s">
        <v>15</v>
      </c>
    </row>
    <row r="104" spans="1:19" x14ac:dyDescent="0.2">
      <c r="B104" s="9"/>
      <c r="C104" s="9"/>
      <c r="D104" s="9"/>
      <c r="E104" s="9"/>
      <c r="F104" s="9"/>
      <c r="G104" s="9"/>
      <c r="H104" s="9"/>
    </row>
    <row r="105" spans="1:19" x14ac:dyDescent="0.2">
      <c r="B105" s="24"/>
      <c r="C105" s="514" t="s">
        <v>1</v>
      </c>
      <c r="D105" s="515"/>
      <c r="E105" s="515"/>
      <c r="F105" s="515"/>
      <c r="G105" s="516"/>
      <c r="H105" s="504" t="s">
        <v>2</v>
      </c>
      <c r="I105" s="505"/>
      <c r="J105" s="505"/>
      <c r="K105" s="506"/>
      <c r="L105" s="504" t="s">
        <v>3</v>
      </c>
      <c r="M105" s="505"/>
      <c r="N105" s="505"/>
      <c r="O105" s="505"/>
      <c r="P105" s="504" t="s">
        <v>4</v>
      </c>
      <c r="Q105" s="505"/>
      <c r="R105" s="505"/>
      <c r="S105" s="505"/>
    </row>
    <row r="106" spans="1:19" x14ac:dyDescent="0.2">
      <c r="B106" s="23"/>
      <c r="C106" s="33" t="s">
        <v>32</v>
      </c>
      <c r="D106" s="33" t="s">
        <v>33</v>
      </c>
      <c r="E106" s="33" t="s">
        <v>34</v>
      </c>
      <c r="F106" s="33" t="s">
        <v>35</v>
      </c>
      <c r="G106" s="33" t="s">
        <v>81</v>
      </c>
      <c r="H106" s="33" t="s">
        <v>32</v>
      </c>
      <c r="I106" s="33" t="s">
        <v>33</v>
      </c>
      <c r="J106" s="33" t="s">
        <v>34</v>
      </c>
      <c r="K106" s="10" t="s">
        <v>35</v>
      </c>
      <c r="L106" s="10" t="s">
        <v>32</v>
      </c>
      <c r="M106" s="10" t="s">
        <v>33</v>
      </c>
      <c r="N106" s="10" t="s">
        <v>34</v>
      </c>
      <c r="O106" s="10" t="s">
        <v>35</v>
      </c>
      <c r="P106" s="10" t="s">
        <v>32</v>
      </c>
      <c r="Q106" s="10" t="s">
        <v>33</v>
      </c>
      <c r="R106" s="10" t="s">
        <v>34</v>
      </c>
      <c r="S106" s="10" t="s">
        <v>35</v>
      </c>
    </row>
    <row r="107" spans="1:19" x14ac:dyDescent="0.2">
      <c r="B107" s="25" t="s">
        <v>21</v>
      </c>
      <c r="C107" s="4">
        <v>1</v>
      </c>
      <c r="D107" s="4">
        <v>1</v>
      </c>
      <c r="E107" s="4">
        <v>1</v>
      </c>
      <c r="F107" s="34">
        <v>1</v>
      </c>
      <c r="G107" s="34">
        <v>1</v>
      </c>
      <c r="H107" s="4">
        <v>1</v>
      </c>
      <c r="I107" s="4">
        <v>1</v>
      </c>
      <c r="J107" s="4">
        <v>1</v>
      </c>
      <c r="K107" s="4">
        <v>1</v>
      </c>
      <c r="L107" s="4">
        <v>1</v>
      </c>
      <c r="M107" s="4">
        <v>1</v>
      </c>
      <c r="N107" s="4">
        <v>1</v>
      </c>
      <c r="O107" s="4">
        <v>1</v>
      </c>
      <c r="P107" s="4">
        <v>1</v>
      </c>
      <c r="Q107" s="34">
        <v>1</v>
      </c>
      <c r="R107" s="34">
        <v>1</v>
      </c>
      <c r="S107" s="34">
        <v>1</v>
      </c>
    </row>
    <row r="108" spans="1:19" x14ac:dyDescent="0.2">
      <c r="B108" s="25" t="s">
        <v>22</v>
      </c>
      <c r="C108" s="4">
        <v>14.7823118</v>
      </c>
      <c r="D108" s="4">
        <v>2.0127248999999998</v>
      </c>
      <c r="E108" s="4">
        <v>1.97855888</v>
      </c>
      <c r="F108" s="34">
        <v>1.34099141</v>
      </c>
      <c r="G108" s="34">
        <v>12.0678771</v>
      </c>
      <c r="H108" s="4">
        <v>3.4364048199999999</v>
      </c>
      <c r="I108" s="4">
        <v>2.48707498</v>
      </c>
      <c r="J108" s="4">
        <v>2.2491813700000001</v>
      </c>
      <c r="K108" s="4">
        <v>0.75980440999999999</v>
      </c>
      <c r="L108" s="4">
        <v>0.22566427999999999</v>
      </c>
      <c r="M108" s="4">
        <v>1.42050115</v>
      </c>
      <c r="N108" s="4">
        <v>1.2408683</v>
      </c>
      <c r="O108" s="4">
        <v>0.15348824</v>
      </c>
      <c r="P108" s="4">
        <v>0.13193506999999999</v>
      </c>
      <c r="Q108" s="34">
        <v>1.2314431299999999</v>
      </c>
      <c r="R108" s="34">
        <v>0.12819394000000001</v>
      </c>
      <c r="S108" s="34">
        <v>1.19304627</v>
      </c>
    </row>
    <row r="109" spans="1:19" x14ac:dyDescent="0.2">
      <c r="B109" s="25" t="s">
        <v>23</v>
      </c>
      <c r="C109" s="4">
        <v>14.096155100000001</v>
      </c>
      <c r="D109" s="4">
        <v>7.8045456299999998</v>
      </c>
      <c r="E109" s="4">
        <v>5.56054504</v>
      </c>
      <c r="F109" s="34">
        <v>5.3116128600000003</v>
      </c>
      <c r="G109" s="34">
        <v>16.4846346</v>
      </c>
      <c r="H109" s="4">
        <v>1.3138427399999999</v>
      </c>
      <c r="I109" s="4">
        <v>0.97736557000000002</v>
      </c>
      <c r="J109" s="4">
        <v>0.55496856000000006</v>
      </c>
      <c r="K109" s="4">
        <v>1.41384274</v>
      </c>
      <c r="L109" s="4">
        <v>0.81364879999999995</v>
      </c>
      <c r="M109" s="4">
        <v>0.82616394000000004</v>
      </c>
      <c r="N109" s="4">
        <v>0.77576951999999999</v>
      </c>
      <c r="O109" s="4">
        <v>0.65467215000000001</v>
      </c>
      <c r="P109" s="4">
        <v>0.55797978000000004</v>
      </c>
      <c r="Q109" s="34">
        <v>1.3959329</v>
      </c>
      <c r="R109" s="34">
        <v>0.57510074</v>
      </c>
      <c r="S109" s="34">
        <v>1.6827839899999999</v>
      </c>
    </row>
    <row r="110" spans="1:19" x14ac:dyDescent="0.2">
      <c r="B110" s="25" t="s">
        <v>24</v>
      </c>
      <c r="C110" s="4">
        <v>38.7506652</v>
      </c>
      <c r="D110" s="4">
        <v>19.985060000000001</v>
      </c>
      <c r="E110" s="4">
        <v>10.6826673</v>
      </c>
      <c r="F110" s="34">
        <v>22.9440791</v>
      </c>
      <c r="G110" s="34">
        <v>21.994181399999999</v>
      </c>
      <c r="H110" s="4">
        <v>1.19160406</v>
      </c>
      <c r="I110" s="4">
        <v>5.5727020400000002</v>
      </c>
      <c r="J110" s="4">
        <v>2.8131763599999999</v>
      </c>
      <c r="K110" s="4">
        <v>0.19160405999999999</v>
      </c>
      <c r="L110" s="4">
        <v>1.57127211</v>
      </c>
      <c r="M110" s="4">
        <v>2.8794634299999999</v>
      </c>
      <c r="N110" s="4">
        <v>2.7237607800000001</v>
      </c>
      <c r="O110" s="4">
        <v>1.35439987</v>
      </c>
      <c r="P110" s="4">
        <v>3.0283878799999999</v>
      </c>
      <c r="Q110" s="34">
        <v>4.9344866300000003</v>
      </c>
      <c r="R110" s="34">
        <v>3.3500903399999999</v>
      </c>
      <c r="S110" s="34">
        <v>4.81771817</v>
      </c>
    </row>
    <row r="111" spans="1:19" x14ac:dyDescent="0.2">
      <c r="B111" s="6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</row>
    <row r="112" spans="1:19" x14ac:dyDescent="0.2">
      <c r="G112" s="9"/>
      <c r="H112" s="9"/>
    </row>
    <row r="113" spans="2:18" x14ac:dyDescent="0.2">
      <c r="C113" s="18" t="s">
        <v>1</v>
      </c>
      <c r="D113" s="18" t="s">
        <v>2</v>
      </c>
      <c r="E113" s="18" t="s">
        <v>3</v>
      </c>
      <c r="F113" s="18" t="s">
        <v>4</v>
      </c>
      <c r="I113" s="18" t="s">
        <v>1</v>
      </c>
      <c r="J113" s="18" t="s">
        <v>2</v>
      </c>
      <c r="K113" s="18" t="s">
        <v>3</v>
      </c>
      <c r="L113" s="18" t="s">
        <v>4</v>
      </c>
      <c r="O113" s="18" t="s">
        <v>1</v>
      </c>
      <c r="P113" s="18" t="s">
        <v>2</v>
      </c>
      <c r="Q113" s="18" t="s">
        <v>3</v>
      </c>
      <c r="R113" s="18" t="s">
        <v>4</v>
      </c>
    </row>
    <row r="114" spans="2:18" x14ac:dyDescent="0.2">
      <c r="B114" s="26" t="s">
        <v>58</v>
      </c>
      <c r="C114" s="17">
        <f>AVERAGE(C107:G107)</f>
        <v>1</v>
      </c>
      <c r="D114" s="17">
        <f>AVERAGE(H107:K107)</f>
        <v>1</v>
      </c>
      <c r="E114" s="17">
        <f>AVERAGE(L107:O107)</f>
        <v>1</v>
      </c>
      <c r="F114" s="17">
        <f>AVERAGE(P107:S107)</f>
        <v>1</v>
      </c>
      <c r="H114" s="26" t="s">
        <v>61</v>
      </c>
      <c r="I114" s="17">
        <f>STDEV(C107:G107)</f>
        <v>0</v>
      </c>
      <c r="J114" s="17">
        <f>STDEV(H107:K107)</f>
        <v>0</v>
      </c>
      <c r="K114" s="17">
        <f>STDEV(L107:O107)</f>
        <v>0</v>
      </c>
      <c r="L114" s="17">
        <f>STDEV(P107:S107)</f>
        <v>0</v>
      </c>
      <c r="N114" s="26" t="s">
        <v>65</v>
      </c>
      <c r="O114" s="17">
        <f>I114/SQRT(5)</f>
        <v>0</v>
      </c>
      <c r="P114" s="17">
        <f>J114/SQRT(4)</f>
        <v>0</v>
      </c>
      <c r="Q114" s="17">
        <f>K114/SQRT(4)</f>
        <v>0</v>
      </c>
      <c r="R114" s="17">
        <f>L114/SQRT(4)</f>
        <v>0</v>
      </c>
    </row>
    <row r="115" spans="2:18" x14ac:dyDescent="0.2">
      <c r="B115" s="26" t="s">
        <v>57</v>
      </c>
      <c r="C115" s="17">
        <f t="shared" ref="C115:C116" si="9">AVERAGE(C108:G108)</f>
        <v>6.4364928180000005</v>
      </c>
      <c r="D115" s="17">
        <f>AVERAGE(H108:K108)</f>
        <v>2.2331163949999997</v>
      </c>
      <c r="E115" s="17">
        <f>AVERAGE(L108:O108)</f>
        <v>0.76013049249999998</v>
      </c>
      <c r="F115" s="17">
        <f>AVERAGE(P108:S108)</f>
        <v>0.67115460249999992</v>
      </c>
      <c r="H115" s="26" t="s">
        <v>62</v>
      </c>
      <c r="I115" s="17">
        <f t="shared" ref="I115:I117" si="10">STDEV(C108:G108)</f>
        <v>6.4570158664567403</v>
      </c>
      <c r="J115" s="17">
        <f t="shared" ref="J115:J117" si="11">STDEV(H108:K108)</f>
        <v>1.1080469733124405</v>
      </c>
      <c r="K115" s="17">
        <f t="shared" ref="K115:K116" si="12">STDEV(L108:O108)</f>
        <v>0.6635428144109613</v>
      </c>
      <c r="L115" s="17">
        <f t="shared" ref="L115:L116" si="13">STDEV(P108:S108)</f>
        <v>0.62499550182541486</v>
      </c>
      <c r="N115" s="26" t="s">
        <v>66</v>
      </c>
      <c r="O115" s="17">
        <f t="shared" ref="O115:O116" si="14">I115/SQRT(5)</f>
        <v>2.887665281838395</v>
      </c>
      <c r="P115" s="17">
        <f t="shared" ref="P115:P117" si="15">J115/SQRT(4)</f>
        <v>0.55402348665622025</v>
      </c>
      <c r="Q115" s="17">
        <f t="shared" ref="Q115:Q117" si="16">K115/SQRT(4)</f>
        <v>0.33177140720548065</v>
      </c>
      <c r="R115" s="17">
        <f t="shared" ref="R115:R117" si="17">L115/SQRT(4)</f>
        <v>0.31249775091270743</v>
      </c>
    </row>
    <row r="116" spans="2:18" x14ac:dyDescent="0.2">
      <c r="B116" s="26" t="s">
        <v>59</v>
      </c>
      <c r="C116" s="17">
        <f t="shared" si="9"/>
        <v>9.8514986459999996</v>
      </c>
      <c r="D116" s="17">
        <f>AVERAGE(H109:K109)</f>
        <v>1.0650049024999999</v>
      </c>
      <c r="E116" s="17">
        <f t="shared" ref="E116:E117" si="18">AVERAGE(L109:O109)</f>
        <v>0.7675636025</v>
      </c>
      <c r="F116" s="17">
        <f>AVERAGE(P109:S109)</f>
        <v>1.0529493525</v>
      </c>
      <c r="H116" s="26" t="s">
        <v>63</v>
      </c>
      <c r="I116" s="17">
        <f t="shared" si="10"/>
        <v>5.1290462915929105</v>
      </c>
      <c r="J116" s="17">
        <f t="shared" si="11"/>
        <v>0.38791142868580025</v>
      </c>
      <c r="K116" s="17">
        <f t="shared" si="12"/>
        <v>7.8251010884427707E-2</v>
      </c>
      <c r="L116" s="17">
        <f t="shared" si="13"/>
        <v>0.57377799383253014</v>
      </c>
      <c r="N116" s="26" t="s">
        <v>67</v>
      </c>
      <c r="O116" s="17">
        <f t="shared" si="14"/>
        <v>2.293779233548991</v>
      </c>
      <c r="P116" s="17">
        <f t="shared" si="15"/>
        <v>0.19395571434290013</v>
      </c>
      <c r="Q116" s="17">
        <f t="shared" si="16"/>
        <v>3.9125505442213854E-2</v>
      </c>
      <c r="R116" s="17">
        <f t="shared" si="17"/>
        <v>0.28688899691626507</v>
      </c>
    </row>
    <row r="117" spans="2:18" x14ac:dyDescent="0.2">
      <c r="B117" s="26" t="s">
        <v>60</v>
      </c>
      <c r="C117" s="17">
        <f>AVERAGE(C110:G110)</f>
        <v>22.8713306</v>
      </c>
      <c r="D117" s="17">
        <f>AVERAGE(H110:K110)</f>
        <v>2.44227163</v>
      </c>
      <c r="E117" s="17">
        <f t="shared" si="18"/>
        <v>2.1322240475000003</v>
      </c>
      <c r="F117" s="17">
        <f t="shared" ref="F117" si="19">AVERAGE(P110:S110)</f>
        <v>4.0326707549999998</v>
      </c>
      <c r="H117" s="26" t="s">
        <v>64</v>
      </c>
      <c r="I117" s="17">
        <f t="shared" si="10"/>
        <v>10.122030693236178</v>
      </c>
      <c r="J117" s="17">
        <f t="shared" si="11"/>
        <v>2.3499531025028677</v>
      </c>
      <c r="K117" s="17">
        <f>STDEV(L110:O110)</f>
        <v>0.78058950542614691</v>
      </c>
      <c r="L117" s="17">
        <f>STDEV(P110:S110)</f>
        <v>0.98388201056834679</v>
      </c>
      <c r="N117" s="26" t="s">
        <v>68</v>
      </c>
      <c r="O117" s="17">
        <f>I117/SQRT(5)</f>
        <v>4.5267097400830831</v>
      </c>
      <c r="P117" s="17">
        <f t="shared" si="15"/>
        <v>1.1749765512514339</v>
      </c>
      <c r="Q117" s="17">
        <f t="shared" si="16"/>
        <v>0.39029475271307346</v>
      </c>
      <c r="R117" s="17">
        <f t="shared" si="17"/>
        <v>0.49194100528417339</v>
      </c>
    </row>
    <row r="120" spans="2:18" ht="18" x14ac:dyDescent="0.2">
      <c r="B120" s="19" t="s">
        <v>52</v>
      </c>
      <c r="C120" s="20"/>
      <c r="D120" s="20"/>
      <c r="E120" s="20"/>
      <c r="F120" s="20"/>
      <c r="G120" s="20"/>
    </row>
    <row r="121" spans="2:18" x14ac:dyDescent="0.2">
      <c r="B121" s="9"/>
      <c r="C121" s="9"/>
      <c r="D121" s="9"/>
      <c r="E121" s="9"/>
      <c r="F121" s="9"/>
      <c r="G121" s="9"/>
    </row>
    <row r="122" spans="2:18" x14ac:dyDescent="0.2">
      <c r="B122" s="15" t="s">
        <v>56</v>
      </c>
      <c r="C122" s="9"/>
      <c r="D122" s="9"/>
      <c r="E122" s="9"/>
      <c r="F122" s="9"/>
      <c r="G122" s="9"/>
    </row>
    <row r="123" spans="2:18" ht="60" x14ac:dyDescent="0.2">
      <c r="B123" s="31" t="s">
        <v>69</v>
      </c>
      <c r="C123" s="32" t="s">
        <v>70</v>
      </c>
      <c r="D123" s="32" t="s">
        <v>36</v>
      </c>
      <c r="E123" s="32" t="s">
        <v>37</v>
      </c>
      <c r="F123" s="32" t="s">
        <v>47</v>
      </c>
      <c r="G123" s="32" t="s">
        <v>38</v>
      </c>
    </row>
    <row r="124" spans="2:18" x14ac:dyDescent="0.2">
      <c r="B124" s="2" t="s">
        <v>43</v>
      </c>
      <c r="C124" s="1">
        <v>25.09</v>
      </c>
      <c r="D124" s="1" t="s">
        <v>40</v>
      </c>
      <c r="E124" s="1" t="s">
        <v>10</v>
      </c>
      <c r="F124" s="1" t="s">
        <v>41</v>
      </c>
      <c r="G124" s="1"/>
    </row>
    <row r="125" spans="2:18" x14ac:dyDescent="0.2">
      <c r="B125" s="2" t="s">
        <v>39</v>
      </c>
      <c r="C125" s="1">
        <v>14.39</v>
      </c>
      <c r="D125" s="1" t="s">
        <v>40</v>
      </c>
      <c r="E125" s="1" t="s">
        <v>10</v>
      </c>
      <c r="F125" s="1" t="s">
        <v>41</v>
      </c>
      <c r="G125" s="1">
        <v>0.5403</v>
      </c>
    </row>
    <row r="126" spans="2:18" x14ac:dyDescent="0.2">
      <c r="B126" s="2" t="s">
        <v>42</v>
      </c>
      <c r="C126" s="1">
        <v>33.43</v>
      </c>
      <c r="D126" s="1" t="s">
        <v>40</v>
      </c>
      <c r="E126" s="1" t="s">
        <v>10</v>
      </c>
      <c r="F126" s="1" t="s">
        <v>41</v>
      </c>
      <c r="G126" s="1"/>
    </row>
    <row r="127" spans="2:18" x14ac:dyDescent="0.2">
      <c r="B127" s="2" t="s">
        <v>71</v>
      </c>
      <c r="C127" s="1">
        <v>13</v>
      </c>
      <c r="D127" s="1" t="s">
        <v>40</v>
      </c>
      <c r="E127" s="1" t="s">
        <v>10</v>
      </c>
      <c r="F127" s="1" t="s">
        <v>41</v>
      </c>
      <c r="G127" s="1"/>
    </row>
    <row r="129" spans="2:7" x14ac:dyDescent="0.2">
      <c r="B129" s="15" t="s">
        <v>44</v>
      </c>
    </row>
    <row r="131" spans="2:7" ht="31" x14ac:dyDescent="0.2">
      <c r="B131" s="29" t="s">
        <v>44</v>
      </c>
      <c r="C131" s="30" t="s">
        <v>45</v>
      </c>
      <c r="D131" s="30" t="s">
        <v>46</v>
      </c>
      <c r="E131" s="30" t="s">
        <v>47</v>
      </c>
      <c r="F131" s="30" t="s">
        <v>48</v>
      </c>
      <c r="G131" s="30" t="s">
        <v>5</v>
      </c>
    </row>
    <row r="132" spans="2:7" x14ac:dyDescent="0.2">
      <c r="B132" s="2"/>
      <c r="C132" s="1"/>
      <c r="D132" s="1"/>
      <c r="E132" s="1"/>
      <c r="F132" s="1"/>
      <c r="G132" s="1"/>
    </row>
    <row r="133" spans="2:7" x14ac:dyDescent="0.2">
      <c r="B133" s="2" t="s">
        <v>17</v>
      </c>
      <c r="C133" s="1"/>
      <c r="D133" s="1"/>
      <c r="E133" s="1"/>
      <c r="F133" s="1"/>
      <c r="G133" s="1"/>
    </row>
    <row r="134" spans="2:7" x14ac:dyDescent="0.2">
      <c r="B134" s="2" t="s">
        <v>6</v>
      </c>
      <c r="C134" s="1">
        <v>4.2030000000000003</v>
      </c>
      <c r="D134" s="1" t="s">
        <v>82</v>
      </c>
      <c r="E134" s="1" t="s">
        <v>49</v>
      </c>
      <c r="F134" s="1" t="s">
        <v>9</v>
      </c>
      <c r="G134" s="35">
        <v>0.44</v>
      </c>
    </row>
    <row r="135" spans="2:7" x14ac:dyDescent="0.2">
      <c r="B135" s="2" t="s">
        <v>7</v>
      </c>
      <c r="C135" s="1">
        <v>5.6760000000000002</v>
      </c>
      <c r="D135" s="1" t="s">
        <v>83</v>
      </c>
      <c r="E135" s="1" t="s">
        <v>49</v>
      </c>
      <c r="F135" s="1" t="s">
        <v>9</v>
      </c>
      <c r="G135" s="35">
        <v>0.26</v>
      </c>
    </row>
    <row r="136" spans="2:7" x14ac:dyDescent="0.2">
      <c r="B136" s="2" t="s">
        <v>8</v>
      </c>
      <c r="C136" s="1">
        <v>5.7649999999999997</v>
      </c>
      <c r="D136" s="1" t="s">
        <v>84</v>
      </c>
      <c r="E136" s="1" t="s">
        <v>49</v>
      </c>
      <c r="F136" s="1" t="s">
        <v>9</v>
      </c>
      <c r="G136" s="35">
        <v>0.25</v>
      </c>
    </row>
    <row r="137" spans="2:7" x14ac:dyDescent="0.2">
      <c r="B137" s="2"/>
      <c r="C137" s="1"/>
      <c r="D137" s="1"/>
      <c r="E137" s="1"/>
      <c r="F137" s="1"/>
      <c r="G137" s="35"/>
    </row>
    <row r="138" spans="2:7" x14ac:dyDescent="0.2">
      <c r="B138" s="2" t="s">
        <v>18</v>
      </c>
      <c r="C138" s="1"/>
      <c r="D138" s="1"/>
      <c r="E138" s="1"/>
      <c r="F138" s="1"/>
      <c r="G138" s="35"/>
    </row>
    <row r="139" spans="2:7" x14ac:dyDescent="0.2">
      <c r="B139" s="2" t="s">
        <v>6</v>
      </c>
      <c r="C139" s="1">
        <v>8.7859999999999996</v>
      </c>
      <c r="D139" s="1" t="s">
        <v>85</v>
      </c>
      <c r="E139" s="1" t="s">
        <v>41</v>
      </c>
      <c r="F139" s="1" t="s">
        <v>12</v>
      </c>
      <c r="G139" s="35">
        <v>0.04</v>
      </c>
    </row>
    <row r="140" spans="2:7" x14ac:dyDescent="0.2">
      <c r="B140" s="2" t="s">
        <v>7</v>
      </c>
      <c r="C140" s="1">
        <v>9.0839999999999996</v>
      </c>
      <c r="D140" s="1" t="s">
        <v>86</v>
      </c>
      <c r="E140" s="1" t="s">
        <v>41</v>
      </c>
      <c r="F140" s="1" t="s">
        <v>12</v>
      </c>
      <c r="G140" s="35">
        <v>0.04</v>
      </c>
    </row>
    <row r="141" spans="2:7" x14ac:dyDescent="0.2">
      <c r="B141" s="2" t="s">
        <v>8</v>
      </c>
      <c r="C141" s="1">
        <v>8.7989999999999995</v>
      </c>
      <c r="D141" s="1" t="s">
        <v>87</v>
      </c>
      <c r="E141" s="1" t="s">
        <v>41</v>
      </c>
      <c r="F141" s="1" t="s">
        <v>12</v>
      </c>
      <c r="G141" s="35">
        <v>0.04</v>
      </c>
    </row>
    <row r="142" spans="2:7" x14ac:dyDescent="0.2">
      <c r="B142" s="2"/>
      <c r="C142" s="1"/>
      <c r="D142" s="1"/>
      <c r="E142" s="1"/>
      <c r="F142" s="1"/>
      <c r="G142" s="35"/>
    </row>
    <row r="143" spans="2:7" x14ac:dyDescent="0.2">
      <c r="B143" s="2" t="s">
        <v>19</v>
      </c>
      <c r="C143" s="1"/>
      <c r="D143" s="1"/>
      <c r="E143" s="1"/>
      <c r="F143" s="1"/>
      <c r="G143" s="35"/>
    </row>
    <row r="144" spans="2:7" x14ac:dyDescent="0.2">
      <c r="B144" s="2" t="s">
        <v>6</v>
      </c>
      <c r="C144" s="1">
        <v>20.43</v>
      </c>
      <c r="D144" s="1" t="s">
        <v>88</v>
      </c>
      <c r="E144" s="1" t="s">
        <v>41</v>
      </c>
      <c r="F144" s="1" t="s">
        <v>12</v>
      </c>
      <c r="G144" s="35">
        <v>0.02</v>
      </c>
    </row>
    <row r="145" spans="2:7" x14ac:dyDescent="0.2">
      <c r="B145" s="2" t="s">
        <v>7</v>
      </c>
      <c r="C145" s="1">
        <v>20.74</v>
      </c>
      <c r="D145" s="1" t="s">
        <v>89</v>
      </c>
      <c r="E145" s="1" t="s">
        <v>41</v>
      </c>
      <c r="F145" s="1" t="s">
        <v>12</v>
      </c>
      <c r="G145" s="35">
        <v>0.02</v>
      </c>
    </row>
    <row r="146" spans="2:7" x14ac:dyDescent="0.2">
      <c r="B146" s="2" t="s">
        <v>8</v>
      </c>
      <c r="C146" s="1">
        <v>18.84</v>
      </c>
      <c r="D146" s="1" t="s">
        <v>90</v>
      </c>
      <c r="E146" s="1" t="s">
        <v>41</v>
      </c>
      <c r="F146" s="1" t="s">
        <v>12</v>
      </c>
      <c r="G146" s="35">
        <v>0.03</v>
      </c>
    </row>
  </sheetData>
  <mergeCells count="12">
    <mergeCell ref="C105:G105"/>
    <mergeCell ref="H105:K105"/>
    <mergeCell ref="L105:O105"/>
    <mergeCell ref="P105:S105"/>
    <mergeCell ref="J9:L9"/>
    <mergeCell ref="M9:O9"/>
    <mergeCell ref="C9:F9"/>
    <mergeCell ref="G9:I9"/>
    <mergeCell ref="C57:H57"/>
    <mergeCell ref="I57:K57"/>
    <mergeCell ref="L57:N57"/>
    <mergeCell ref="O57:Q57"/>
  </mergeCells>
  <pageMargins left="0.7" right="0.7" top="0.75" bottom="0.75" header="0.3" footer="0.3"/>
  <ignoredErrors>
    <ignoredError sqref="C19:F21 I18:L21 C18:F18 G114:H114 G116:H117 G115:H115 M114:N114 M116:N117 M115:N115 C114:F117 I114:L117" formulaRang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2:S51"/>
  <sheetViews>
    <sheetView workbookViewId="0">
      <selection activeCell="I33" sqref="I33"/>
    </sheetView>
  </sheetViews>
  <sheetFormatPr baseColWidth="10" defaultColWidth="10.83203125" defaultRowHeight="14" x14ac:dyDescent="0.15"/>
  <cols>
    <col min="1" max="1" width="10.83203125" style="9"/>
    <col min="2" max="2" width="19.33203125" style="9" customWidth="1"/>
    <col min="3" max="8" width="10.83203125" style="9"/>
    <col min="9" max="9" width="13.33203125" style="9" customWidth="1"/>
    <col min="10" max="16384" width="10.83203125" style="9"/>
  </cols>
  <sheetData>
    <row r="2" spans="1:19" ht="18" x14ac:dyDescent="0.2">
      <c r="A2" s="53" t="s">
        <v>1170</v>
      </c>
      <c r="B2" s="8"/>
    </row>
    <row r="4" spans="1:19" ht="18" x14ac:dyDescent="0.2">
      <c r="A4" s="14" t="s">
        <v>91</v>
      </c>
      <c r="B4" s="8"/>
    </row>
    <row r="5" spans="1:19" x14ac:dyDescent="0.15">
      <c r="A5" s="9" t="s">
        <v>104</v>
      </c>
    </row>
    <row r="6" spans="1:19" x14ac:dyDescent="0.15">
      <c r="C6" s="36"/>
      <c r="D6" s="535" t="s">
        <v>1</v>
      </c>
      <c r="E6" s="535"/>
      <c r="F6" s="535"/>
      <c r="G6" s="536" t="s">
        <v>2</v>
      </c>
      <c r="H6" s="536"/>
      <c r="I6" s="536"/>
      <c r="J6" s="536" t="s">
        <v>3</v>
      </c>
      <c r="K6" s="536"/>
      <c r="L6" s="536"/>
      <c r="M6" s="536" t="s">
        <v>4</v>
      </c>
      <c r="N6" s="536"/>
      <c r="O6" s="536"/>
    </row>
    <row r="7" spans="1:19" x14ac:dyDescent="0.15">
      <c r="C7" s="36"/>
      <c r="D7" s="10" t="s">
        <v>32</v>
      </c>
      <c r="E7" s="10" t="s">
        <v>33</v>
      </c>
      <c r="F7" s="10" t="s">
        <v>34</v>
      </c>
      <c r="G7" s="10" t="s">
        <v>32</v>
      </c>
      <c r="H7" s="10" t="s">
        <v>33</v>
      </c>
      <c r="I7" s="10" t="s">
        <v>34</v>
      </c>
      <c r="J7" s="10" t="s">
        <v>32</v>
      </c>
      <c r="K7" s="10" t="s">
        <v>33</v>
      </c>
      <c r="L7" s="10" t="s">
        <v>34</v>
      </c>
      <c r="M7" s="10" t="s">
        <v>32</v>
      </c>
      <c r="N7" s="10" t="s">
        <v>33</v>
      </c>
      <c r="O7" s="10" t="s">
        <v>34</v>
      </c>
    </row>
    <row r="8" spans="1:19" x14ac:dyDescent="0.15">
      <c r="C8" s="25" t="s">
        <v>21</v>
      </c>
      <c r="D8" s="4">
        <v>1.63</v>
      </c>
      <c r="E8" s="4">
        <v>0.69</v>
      </c>
      <c r="F8" s="4">
        <v>0.52</v>
      </c>
      <c r="G8" s="4">
        <v>2.77</v>
      </c>
      <c r="H8" s="4">
        <v>0.59</v>
      </c>
      <c r="I8" s="4">
        <v>1.48</v>
      </c>
      <c r="J8" s="4">
        <v>0.94</v>
      </c>
      <c r="K8" s="4">
        <v>2.5099999999999998</v>
      </c>
      <c r="L8" s="4">
        <v>0.79</v>
      </c>
      <c r="M8" s="4">
        <v>1.21</v>
      </c>
      <c r="N8" s="4">
        <v>0.91</v>
      </c>
      <c r="O8" s="4">
        <v>1.81</v>
      </c>
    </row>
    <row r="9" spans="1:19" x14ac:dyDescent="0.15">
      <c r="C9" s="25" t="s">
        <v>22</v>
      </c>
      <c r="D9" s="4">
        <v>1.03</v>
      </c>
      <c r="E9" s="4">
        <v>1.07</v>
      </c>
      <c r="F9" s="4">
        <v>1.05</v>
      </c>
      <c r="G9" s="4">
        <v>1.18</v>
      </c>
      <c r="H9" s="4">
        <v>0.88</v>
      </c>
      <c r="I9" s="4">
        <v>1.03</v>
      </c>
      <c r="J9" s="4">
        <v>2.4</v>
      </c>
      <c r="K9" s="4">
        <v>1.4</v>
      </c>
      <c r="L9" s="4">
        <v>1.9</v>
      </c>
      <c r="M9" s="4">
        <v>1.28</v>
      </c>
      <c r="N9" s="4">
        <v>0.75</v>
      </c>
      <c r="O9" s="4">
        <v>1</v>
      </c>
    </row>
    <row r="10" spans="1:19" x14ac:dyDescent="0.15">
      <c r="C10" s="25" t="s">
        <v>23</v>
      </c>
      <c r="D10" s="4">
        <v>2.6</v>
      </c>
      <c r="E10" s="4">
        <v>0.7</v>
      </c>
      <c r="F10" s="4">
        <v>1.65</v>
      </c>
      <c r="G10" s="4">
        <v>0.74</v>
      </c>
      <c r="H10" s="4">
        <v>0.9</v>
      </c>
      <c r="I10" s="4">
        <v>0.82</v>
      </c>
      <c r="J10" s="4">
        <v>0.6</v>
      </c>
      <c r="K10" s="4">
        <v>0.5</v>
      </c>
      <c r="L10" s="4">
        <v>0.55000000000000004</v>
      </c>
      <c r="M10" s="4">
        <v>0.53</v>
      </c>
      <c r="N10" s="4">
        <v>1.49</v>
      </c>
      <c r="O10" s="4">
        <v>1.01</v>
      </c>
    </row>
    <row r="11" spans="1:19" x14ac:dyDescent="0.15">
      <c r="C11" s="25" t="s">
        <v>24</v>
      </c>
      <c r="D11" s="4">
        <v>1.79</v>
      </c>
      <c r="E11" s="4">
        <v>0.93</v>
      </c>
      <c r="F11" s="4">
        <v>3.98</v>
      </c>
      <c r="G11" s="4">
        <v>1.33</v>
      </c>
      <c r="H11" s="4">
        <v>1.41</v>
      </c>
      <c r="I11" s="4">
        <v>1.37</v>
      </c>
      <c r="J11" s="4">
        <v>1.05</v>
      </c>
      <c r="K11" s="4">
        <v>2.69</v>
      </c>
      <c r="L11" s="4">
        <v>0.67</v>
      </c>
      <c r="M11" s="4">
        <v>2.17</v>
      </c>
      <c r="N11" s="4">
        <v>0.24</v>
      </c>
      <c r="O11" s="4">
        <v>1.28</v>
      </c>
    </row>
    <row r="13" spans="1:19" ht="16" x14ac:dyDescent="0.2">
      <c r="C13" s="27"/>
      <c r="D13" s="18" t="s">
        <v>1</v>
      </c>
      <c r="E13" s="18" t="s">
        <v>2</v>
      </c>
      <c r="F13" s="18" t="s">
        <v>3</v>
      </c>
      <c r="G13" s="18" t="s">
        <v>4</v>
      </c>
      <c r="H13" s="27"/>
      <c r="I13" s="27"/>
      <c r="J13" s="18" t="s">
        <v>1</v>
      </c>
      <c r="K13" s="18" t="s">
        <v>2</v>
      </c>
      <c r="L13" s="18" t="s">
        <v>3</v>
      </c>
      <c r="M13" s="18" t="s">
        <v>4</v>
      </c>
      <c r="N13" s="27"/>
      <c r="O13" s="27"/>
      <c r="P13" s="18" t="s">
        <v>1</v>
      </c>
      <c r="Q13" s="18" t="s">
        <v>2</v>
      </c>
      <c r="R13" s="18" t="s">
        <v>3</v>
      </c>
      <c r="S13" s="18" t="s">
        <v>4</v>
      </c>
    </row>
    <row r="14" spans="1:19" ht="16" x14ac:dyDescent="0.2">
      <c r="C14" s="26" t="s">
        <v>58</v>
      </c>
      <c r="D14" s="17">
        <f>AVERAGE(D8:F8)</f>
        <v>0.94666666666666666</v>
      </c>
      <c r="E14" s="17">
        <f>AVERAGE(G8:I8)</f>
        <v>1.6133333333333333</v>
      </c>
      <c r="F14" s="17">
        <f>AVERAGE(J8:L8)</f>
        <v>1.4133333333333333</v>
      </c>
      <c r="G14" s="17">
        <f>AVERAGE(M8:O8)</f>
        <v>1.31</v>
      </c>
      <c r="H14" s="27"/>
      <c r="I14" s="26" t="s">
        <v>61</v>
      </c>
      <c r="J14" s="17">
        <f>STDEV(D8:F8)</f>
        <v>0.59785728508845071</v>
      </c>
      <c r="K14" s="17">
        <f>STDEV(G8:I8)</f>
        <v>1.0960991439342218</v>
      </c>
      <c r="L14" s="17">
        <f>STDEV(J8:L8)</f>
        <v>0.952697923443382</v>
      </c>
      <c r="M14" s="17">
        <f>STDEV(M8:O8)</f>
        <v>0.45825756949558444</v>
      </c>
      <c r="N14" s="27"/>
      <c r="O14" s="26" t="s">
        <v>65</v>
      </c>
      <c r="P14" s="17">
        <f>J14/SQRT(3)</f>
        <v>0.34517306448279589</v>
      </c>
      <c r="Q14" s="17">
        <f>K14/SQRT(3)</f>
        <v>0.6328331358089414</v>
      </c>
      <c r="R14" s="17">
        <f>L14/SQRT(3)</f>
        <v>0.55004040255643416</v>
      </c>
      <c r="S14" s="17">
        <f>M14/SQRT(3)</f>
        <v>0.2645751311064593</v>
      </c>
    </row>
    <row r="15" spans="1:19" ht="16" x14ac:dyDescent="0.2">
      <c r="C15" s="26" t="s">
        <v>57</v>
      </c>
      <c r="D15" s="17">
        <f>AVERAGE(D9:F9)</f>
        <v>1.05</v>
      </c>
      <c r="E15" s="17">
        <f t="shared" ref="E15:E17" si="0">AVERAGE(G9:I9)</f>
        <v>1.03</v>
      </c>
      <c r="F15" s="17">
        <f t="shared" ref="F15:F17" si="1">AVERAGE(J9:L9)</f>
        <v>1.8999999999999997</v>
      </c>
      <c r="G15" s="17">
        <f t="shared" ref="G15:G17" si="2">AVERAGE(M9:O9)</f>
        <v>1.01</v>
      </c>
      <c r="H15" s="27"/>
      <c r="I15" s="26" t="s">
        <v>62</v>
      </c>
      <c r="J15" s="17">
        <f t="shared" ref="J15:J17" si="3">STDEV(D9:F9)</f>
        <v>2.0000000000000018E-2</v>
      </c>
      <c r="K15" s="17">
        <f t="shared" ref="K15:K17" si="4">STDEV(G9:I9)</f>
        <v>0.14999999999999913</v>
      </c>
      <c r="L15" s="17">
        <f t="shared" ref="L15:L16" si="5">STDEV(J9:L9)</f>
        <v>0.50000000000000089</v>
      </c>
      <c r="M15" s="17">
        <f t="shared" ref="M15:M16" si="6">STDEV(M9:O9)</f>
        <v>0.26514147167125668</v>
      </c>
      <c r="N15" s="27"/>
      <c r="O15" s="26" t="s">
        <v>66</v>
      </c>
      <c r="P15" s="17">
        <f t="shared" ref="P15:P17" si="7">J15/SQRT(3)</f>
        <v>1.1547005383792526E-2</v>
      </c>
      <c r="Q15" s="17">
        <f>K15/SQRT(3)</f>
        <v>8.6602540378443366E-2</v>
      </c>
      <c r="R15" s="17">
        <f t="shared" ref="R15:R17" si="8">L15/SQRT(3)</f>
        <v>0.28867513459481342</v>
      </c>
      <c r="S15" s="17">
        <f t="shared" ref="S15:S17" si="9">M15/SQRT(3)</f>
        <v>0.15307950004273357</v>
      </c>
    </row>
    <row r="16" spans="1:19" ht="16" x14ac:dyDescent="0.2">
      <c r="C16" s="26" t="s">
        <v>59</v>
      </c>
      <c r="D16" s="17">
        <f>AVERAGE(D10:F10)</f>
        <v>1.6499999999999997</v>
      </c>
      <c r="E16" s="17">
        <f t="shared" si="0"/>
        <v>0.82</v>
      </c>
      <c r="F16" s="17">
        <f t="shared" si="1"/>
        <v>0.55000000000000004</v>
      </c>
      <c r="G16" s="17">
        <f t="shared" si="2"/>
        <v>1.01</v>
      </c>
      <c r="H16" s="27"/>
      <c r="I16" s="26" t="s">
        <v>63</v>
      </c>
      <c r="J16" s="17">
        <f t="shared" si="3"/>
        <v>0.9500000000000004</v>
      </c>
      <c r="K16" s="17">
        <f t="shared" si="4"/>
        <v>8.0000000000000016E-2</v>
      </c>
      <c r="L16" s="17">
        <f t="shared" si="5"/>
        <v>4.9999999999999989E-2</v>
      </c>
      <c r="M16" s="17">
        <f t="shared" si="6"/>
        <v>0.4799999999999997</v>
      </c>
      <c r="N16" s="27"/>
      <c r="O16" s="26" t="s">
        <v>67</v>
      </c>
      <c r="P16" s="17">
        <f t="shared" si="7"/>
        <v>0.54848275573014471</v>
      </c>
      <c r="Q16" s="17">
        <f t="shared" ref="Q16:Q17" si="10">K16/SQRT(3)</f>
        <v>4.6188021535170071E-2</v>
      </c>
      <c r="R16" s="17">
        <f t="shared" si="8"/>
        <v>2.8867513459481284E-2</v>
      </c>
      <c r="S16" s="17">
        <f>M16/SQRT(3)</f>
        <v>0.2771281292110202</v>
      </c>
    </row>
    <row r="17" spans="2:19" ht="16" x14ac:dyDescent="0.2">
      <c r="C17" s="26" t="s">
        <v>60</v>
      </c>
      <c r="D17" s="17">
        <f>AVERAGE(D11:F11)</f>
        <v>2.2333333333333334</v>
      </c>
      <c r="E17" s="17">
        <f t="shared" si="0"/>
        <v>1.37</v>
      </c>
      <c r="F17" s="17">
        <f t="shared" si="1"/>
        <v>1.47</v>
      </c>
      <c r="G17" s="17">
        <f t="shared" si="2"/>
        <v>1.2300000000000002</v>
      </c>
      <c r="H17" s="27"/>
      <c r="I17" s="26" t="s">
        <v>64</v>
      </c>
      <c r="J17" s="17">
        <f t="shared" si="3"/>
        <v>1.5725881003407518</v>
      </c>
      <c r="K17" s="17">
        <f t="shared" si="4"/>
        <v>3.9999999999999925E-2</v>
      </c>
      <c r="L17" s="17">
        <f>STDEV(J11:L11)</f>
        <v>1.0734989520255711</v>
      </c>
      <c r="M17" s="17">
        <f>STDEV(M11:O11)</f>
        <v>0.96597101405787489</v>
      </c>
      <c r="N17" s="27"/>
      <c r="O17" s="26" t="s">
        <v>68</v>
      </c>
      <c r="P17" s="17">
        <f t="shared" si="7"/>
        <v>0.90793416305613528</v>
      </c>
      <c r="Q17" s="17">
        <f t="shared" si="10"/>
        <v>2.3094010767584987E-2</v>
      </c>
      <c r="R17" s="17">
        <f t="shared" si="8"/>
        <v>0.61978490892674465</v>
      </c>
      <c r="S17" s="17">
        <f t="shared" si="9"/>
        <v>0.55770362499568982</v>
      </c>
    </row>
    <row r="21" spans="2:19" ht="18" x14ac:dyDescent="0.2">
      <c r="B21" s="19" t="s">
        <v>52</v>
      </c>
      <c r="C21" s="20"/>
      <c r="D21" s="20"/>
      <c r="E21" s="20"/>
      <c r="F21" s="20"/>
      <c r="G21" s="20"/>
      <c r="K21"/>
    </row>
    <row r="22" spans="2:19" ht="18" customHeight="1" x14ac:dyDescent="0.15">
      <c r="B22" s="3" t="s">
        <v>56</v>
      </c>
    </row>
    <row r="23" spans="2:19" ht="60" x14ac:dyDescent="0.15">
      <c r="B23" s="31" t="s">
        <v>69</v>
      </c>
      <c r="C23" s="32" t="s">
        <v>70</v>
      </c>
      <c r="D23" s="32" t="s">
        <v>36</v>
      </c>
      <c r="E23" s="32" t="s">
        <v>37</v>
      </c>
      <c r="F23" s="32" t="s">
        <v>47</v>
      </c>
      <c r="G23" s="32" t="s">
        <v>38</v>
      </c>
    </row>
    <row r="24" spans="2:19" ht="16" x14ac:dyDescent="0.2">
      <c r="B24" s="2" t="s">
        <v>43</v>
      </c>
      <c r="C24" s="1">
        <v>21.22</v>
      </c>
      <c r="D24" s="1">
        <v>0.37109999999999999</v>
      </c>
      <c r="E24" s="1" t="s">
        <v>9</v>
      </c>
      <c r="F24" s="1" t="s">
        <v>49</v>
      </c>
      <c r="G24" s="1"/>
      <c r="K24"/>
    </row>
    <row r="25" spans="2:19" x14ac:dyDescent="0.15">
      <c r="B25" s="2" t="s">
        <v>39</v>
      </c>
      <c r="C25" s="1">
        <v>7.6959999999999997</v>
      </c>
      <c r="D25" s="1">
        <v>0.31530000000000002</v>
      </c>
      <c r="E25" s="1" t="s">
        <v>9</v>
      </c>
      <c r="F25" s="1" t="s">
        <v>49</v>
      </c>
      <c r="G25" s="1">
        <v>0.78779999999999994</v>
      </c>
    </row>
    <row r="26" spans="2:19" x14ac:dyDescent="0.15">
      <c r="B26" s="2" t="s">
        <v>42</v>
      </c>
      <c r="C26" s="1">
        <v>2.972</v>
      </c>
      <c r="D26" s="1">
        <v>0.74139999999999995</v>
      </c>
      <c r="E26" s="1" t="s">
        <v>9</v>
      </c>
      <c r="F26" s="1" t="s">
        <v>49</v>
      </c>
      <c r="G26" s="1"/>
    </row>
    <row r="27" spans="2:19" x14ac:dyDescent="0.15">
      <c r="B27" s="2" t="s">
        <v>71</v>
      </c>
      <c r="C27" s="1">
        <v>18.71</v>
      </c>
      <c r="D27" s="1">
        <v>0.37559999999999999</v>
      </c>
      <c r="E27" s="1" t="s">
        <v>9</v>
      </c>
      <c r="F27" s="1" t="s">
        <v>49</v>
      </c>
      <c r="G27" s="1"/>
    </row>
    <row r="29" spans="2:19" x14ac:dyDescent="0.15">
      <c r="B29" s="3" t="s">
        <v>44</v>
      </c>
    </row>
    <row r="31" spans="2:19" ht="30" x14ac:dyDescent="0.15">
      <c r="B31" s="29" t="s">
        <v>44</v>
      </c>
      <c r="C31" s="30" t="s">
        <v>45</v>
      </c>
      <c r="D31" s="30" t="s">
        <v>46</v>
      </c>
      <c r="E31" s="30" t="s">
        <v>47</v>
      </c>
      <c r="F31" s="30" t="s">
        <v>48</v>
      </c>
      <c r="G31" s="30" t="s">
        <v>5</v>
      </c>
    </row>
    <row r="32" spans="2:19" x14ac:dyDescent="0.15">
      <c r="B32" s="2"/>
      <c r="C32" s="1"/>
      <c r="D32" s="1"/>
      <c r="E32" s="1"/>
      <c r="F32" s="1"/>
      <c r="G32" s="1"/>
    </row>
    <row r="33" spans="2:7" x14ac:dyDescent="0.15">
      <c r="B33" s="2" t="s">
        <v>16</v>
      </c>
      <c r="C33" s="1"/>
      <c r="D33" s="1"/>
      <c r="E33" s="1"/>
      <c r="F33" s="1"/>
      <c r="G33" s="1"/>
    </row>
    <row r="34" spans="2:7" x14ac:dyDescent="0.15">
      <c r="B34" s="2" t="s">
        <v>6</v>
      </c>
      <c r="C34" s="1">
        <v>-0.66669999999999996</v>
      </c>
      <c r="D34" s="1" t="s">
        <v>92</v>
      </c>
      <c r="E34" s="1" t="s">
        <v>49</v>
      </c>
      <c r="F34" s="1" t="s">
        <v>9</v>
      </c>
      <c r="G34" s="1">
        <v>0.7087</v>
      </c>
    </row>
    <row r="35" spans="2:7" x14ac:dyDescent="0.15">
      <c r="B35" s="2" t="s">
        <v>7</v>
      </c>
      <c r="C35" s="1">
        <v>-0.4667</v>
      </c>
      <c r="D35" s="1" t="s">
        <v>93</v>
      </c>
      <c r="E35" s="1" t="s">
        <v>49</v>
      </c>
      <c r="F35" s="1" t="s">
        <v>9</v>
      </c>
      <c r="G35" s="1">
        <v>0.81899999999999995</v>
      </c>
    </row>
    <row r="36" spans="2:7" x14ac:dyDescent="0.15">
      <c r="B36" s="2" t="s">
        <v>8</v>
      </c>
      <c r="C36" s="1">
        <v>-0.36330000000000001</v>
      </c>
      <c r="D36" s="1" t="s">
        <v>94</v>
      </c>
      <c r="E36" s="1" t="s">
        <v>49</v>
      </c>
      <c r="F36" s="1" t="s">
        <v>9</v>
      </c>
      <c r="G36" s="1">
        <v>0.75449999999999995</v>
      </c>
    </row>
    <row r="37" spans="2:7" x14ac:dyDescent="0.15">
      <c r="B37" s="2"/>
      <c r="C37" s="1"/>
      <c r="D37" s="1"/>
      <c r="E37" s="1"/>
      <c r="F37" s="1"/>
      <c r="G37" s="1"/>
    </row>
    <row r="38" spans="2:7" x14ac:dyDescent="0.15">
      <c r="B38" s="2" t="s">
        <v>17</v>
      </c>
      <c r="C38" s="1"/>
      <c r="D38" s="1"/>
      <c r="E38" s="1"/>
      <c r="F38" s="1"/>
      <c r="G38" s="1"/>
    </row>
    <row r="39" spans="2:7" x14ac:dyDescent="0.15">
      <c r="B39" s="2" t="s">
        <v>6</v>
      </c>
      <c r="C39" s="1">
        <v>0.02</v>
      </c>
      <c r="D39" s="1" t="s">
        <v>95</v>
      </c>
      <c r="E39" s="1" t="s">
        <v>49</v>
      </c>
      <c r="F39" s="1" t="s">
        <v>9</v>
      </c>
      <c r="G39" s="1">
        <v>0.98960000000000004</v>
      </c>
    </row>
    <row r="40" spans="2:7" x14ac:dyDescent="0.15">
      <c r="B40" s="2" t="s">
        <v>7</v>
      </c>
      <c r="C40" s="1">
        <v>-0.85</v>
      </c>
      <c r="D40" s="1" t="s">
        <v>96</v>
      </c>
      <c r="E40" s="1" t="s">
        <v>49</v>
      </c>
      <c r="F40" s="1" t="s">
        <v>9</v>
      </c>
      <c r="G40" s="1">
        <v>0.18379999999999999</v>
      </c>
    </row>
    <row r="41" spans="2:7" x14ac:dyDescent="0.15">
      <c r="B41" s="2" t="s">
        <v>8</v>
      </c>
      <c r="C41" s="1">
        <v>0.04</v>
      </c>
      <c r="D41" s="1" t="s">
        <v>97</v>
      </c>
      <c r="E41" s="1" t="s">
        <v>49</v>
      </c>
      <c r="F41" s="1" t="s">
        <v>9</v>
      </c>
      <c r="G41" s="1">
        <v>0.98499999999999999</v>
      </c>
    </row>
    <row r="42" spans="2:7" x14ac:dyDescent="0.15">
      <c r="B42" s="2"/>
      <c r="C42" s="1"/>
      <c r="D42" s="1"/>
      <c r="E42" s="1"/>
      <c r="F42" s="1"/>
      <c r="G42" s="1"/>
    </row>
    <row r="43" spans="2:7" x14ac:dyDescent="0.15">
      <c r="B43" s="2" t="s">
        <v>18</v>
      </c>
      <c r="C43" s="1"/>
      <c r="D43" s="1"/>
      <c r="E43" s="1"/>
      <c r="F43" s="1"/>
      <c r="G43" s="1"/>
    </row>
    <row r="44" spans="2:7" x14ac:dyDescent="0.15">
      <c r="B44" s="2" t="s">
        <v>6</v>
      </c>
      <c r="C44" s="1">
        <v>0.83</v>
      </c>
      <c r="D44" s="1" t="s">
        <v>98</v>
      </c>
      <c r="E44" s="1" t="s">
        <v>49</v>
      </c>
      <c r="F44" s="1" t="s">
        <v>9</v>
      </c>
      <c r="G44" s="1">
        <v>0.47099999999999997</v>
      </c>
    </row>
    <row r="45" spans="2:7" x14ac:dyDescent="0.15">
      <c r="B45" s="2" t="s">
        <v>7</v>
      </c>
      <c r="C45" s="1">
        <v>1.1000000000000001</v>
      </c>
      <c r="D45" s="1" t="s">
        <v>99</v>
      </c>
      <c r="E45" s="1" t="s">
        <v>49</v>
      </c>
      <c r="F45" s="1" t="s">
        <v>9</v>
      </c>
      <c r="G45" s="1">
        <v>0.33069999999999999</v>
      </c>
    </row>
    <row r="46" spans="2:7" x14ac:dyDescent="0.15">
      <c r="B46" s="2" t="s">
        <v>8</v>
      </c>
      <c r="C46" s="1">
        <v>0.64</v>
      </c>
      <c r="D46" s="1" t="s">
        <v>100</v>
      </c>
      <c r="E46" s="1" t="s">
        <v>49</v>
      </c>
      <c r="F46" s="1" t="s">
        <v>9</v>
      </c>
      <c r="G46" s="1">
        <v>0.64759999999999995</v>
      </c>
    </row>
    <row r="47" spans="2:7" x14ac:dyDescent="0.15">
      <c r="B47" s="2"/>
      <c r="C47" s="1"/>
      <c r="D47" s="1"/>
      <c r="E47" s="1"/>
      <c r="F47" s="1"/>
      <c r="G47" s="1"/>
    </row>
    <row r="48" spans="2:7" x14ac:dyDescent="0.15">
      <c r="B48" s="2" t="s">
        <v>19</v>
      </c>
      <c r="C48" s="1"/>
      <c r="D48" s="1"/>
      <c r="E48" s="1"/>
      <c r="F48" s="1"/>
      <c r="G48" s="1"/>
    </row>
    <row r="49" spans="2:7" x14ac:dyDescent="0.15">
      <c r="B49" s="2" t="s">
        <v>6</v>
      </c>
      <c r="C49" s="1">
        <v>0.86329999999999996</v>
      </c>
      <c r="D49" s="1" t="s">
        <v>101</v>
      </c>
      <c r="E49" s="1" t="s">
        <v>49</v>
      </c>
      <c r="F49" s="1" t="s">
        <v>9</v>
      </c>
      <c r="G49" s="1">
        <v>0.70930000000000004</v>
      </c>
    </row>
    <row r="50" spans="2:7" x14ac:dyDescent="0.15">
      <c r="B50" s="2" t="s">
        <v>7</v>
      </c>
      <c r="C50" s="1">
        <v>0.76329999999999998</v>
      </c>
      <c r="D50" s="1" t="s">
        <v>102</v>
      </c>
      <c r="E50" s="1" t="s">
        <v>49</v>
      </c>
      <c r="F50" s="1" t="s">
        <v>9</v>
      </c>
      <c r="G50" s="1">
        <v>0.83140000000000003</v>
      </c>
    </row>
    <row r="51" spans="2:7" x14ac:dyDescent="0.15">
      <c r="B51" s="2" t="s">
        <v>8</v>
      </c>
      <c r="C51" s="1">
        <v>1.0029999999999999</v>
      </c>
      <c r="D51" s="1" t="s">
        <v>103</v>
      </c>
      <c r="E51" s="1" t="s">
        <v>49</v>
      </c>
      <c r="F51" s="1" t="s">
        <v>9</v>
      </c>
      <c r="G51" s="1">
        <v>0.6976</v>
      </c>
    </row>
  </sheetData>
  <mergeCells count="4">
    <mergeCell ref="D6:F6"/>
    <mergeCell ref="G6:I6"/>
    <mergeCell ref="J6:L6"/>
    <mergeCell ref="M6:O6"/>
  </mergeCells>
  <pageMargins left="0.7" right="0.7" top="0.75" bottom="0.75" header="0.3" footer="0.3"/>
  <ignoredErrors>
    <ignoredError sqref="D14:G17 J14:M17" formulaRang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2:S52"/>
  <sheetViews>
    <sheetView workbookViewId="0">
      <selection activeCell="K38" sqref="K38"/>
    </sheetView>
  </sheetViews>
  <sheetFormatPr baseColWidth="10" defaultColWidth="10.83203125" defaultRowHeight="14" x14ac:dyDescent="0.15"/>
  <cols>
    <col min="1" max="1" width="10.83203125" style="9"/>
    <col min="2" max="2" width="19.33203125" style="9" customWidth="1"/>
    <col min="3" max="8" width="10.83203125" style="9"/>
    <col min="9" max="9" width="15.83203125" style="9" customWidth="1"/>
    <col min="10" max="16384" width="10.83203125" style="9"/>
  </cols>
  <sheetData>
    <row r="2" spans="1:19" ht="18" x14ac:dyDescent="0.2">
      <c r="A2" s="53" t="s">
        <v>1171</v>
      </c>
      <c r="B2" s="8"/>
    </row>
    <row r="4" spans="1:19" ht="18" x14ac:dyDescent="0.2">
      <c r="A4" s="14" t="s">
        <v>105</v>
      </c>
      <c r="B4" s="8"/>
    </row>
    <row r="5" spans="1:19" x14ac:dyDescent="0.15">
      <c r="A5" s="9" t="s">
        <v>104</v>
      </c>
    </row>
    <row r="6" spans="1:19" x14ac:dyDescent="0.15">
      <c r="C6" s="36"/>
      <c r="D6" s="535" t="s">
        <v>1</v>
      </c>
      <c r="E6" s="535"/>
      <c r="F6" s="535"/>
      <c r="G6" s="536" t="s">
        <v>2</v>
      </c>
      <c r="H6" s="536"/>
      <c r="I6" s="536"/>
      <c r="J6" s="536" t="s">
        <v>3</v>
      </c>
      <c r="K6" s="536"/>
      <c r="L6" s="536"/>
      <c r="M6" s="536" t="s">
        <v>4</v>
      </c>
      <c r="N6" s="536"/>
      <c r="O6" s="536"/>
    </row>
    <row r="7" spans="1:19" x14ac:dyDescent="0.15">
      <c r="C7" s="36"/>
      <c r="D7" s="10" t="s">
        <v>32</v>
      </c>
      <c r="E7" s="10" t="s">
        <v>33</v>
      </c>
      <c r="F7" s="10" t="s">
        <v>34</v>
      </c>
      <c r="G7" s="10" t="s">
        <v>32</v>
      </c>
      <c r="H7" s="10" t="s">
        <v>33</v>
      </c>
      <c r="I7" s="10" t="s">
        <v>34</v>
      </c>
      <c r="J7" s="10" t="s">
        <v>32</v>
      </c>
      <c r="K7" s="10" t="s">
        <v>33</v>
      </c>
      <c r="L7" s="10" t="s">
        <v>34</v>
      </c>
      <c r="M7" s="10" t="s">
        <v>32</v>
      </c>
      <c r="N7" s="10" t="s">
        <v>33</v>
      </c>
      <c r="O7" s="10" t="s">
        <v>34</v>
      </c>
    </row>
    <row r="8" spans="1:19" x14ac:dyDescent="0.15">
      <c r="C8" s="25" t="s">
        <v>21</v>
      </c>
      <c r="D8" s="4">
        <v>61.66</v>
      </c>
      <c r="E8" s="4">
        <v>55.3</v>
      </c>
      <c r="F8" s="4">
        <v>52.82</v>
      </c>
      <c r="G8" s="4">
        <v>57.66</v>
      </c>
      <c r="H8" s="4">
        <v>42.43</v>
      </c>
      <c r="I8" s="4">
        <v>50</v>
      </c>
      <c r="J8" s="4">
        <v>55.61</v>
      </c>
      <c r="K8" s="4">
        <v>43.93</v>
      </c>
      <c r="L8" s="4">
        <v>49.96</v>
      </c>
      <c r="M8" s="4">
        <v>53.68</v>
      </c>
      <c r="N8" s="4">
        <v>56.81</v>
      </c>
      <c r="O8" s="4">
        <v>39.21</v>
      </c>
    </row>
    <row r="9" spans="1:19" x14ac:dyDescent="0.15">
      <c r="C9" s="25" t="s">
        <v>22</v>
      </c>
      <c r="D9" s="4">
        <v>48</v>
      </c>
      <c r="E9" s="4">
        <v>52</v>
      </c>
      <c r="F9" s="4">
        <v>50</v>
      </c>
      <c r="G9" s="4">
        <v>51</v>
      </c>
      <c r="H9" s="4">
        <v>48</v>
      </c>
      <c r="I9" s="4">
        <v>47</v>
      </c>
      <c r="J9" s="4">
        <v>50</v>
      </c>
      <c r="K9" s="4">
        <v>49</v>
      </c>
      <c r="L9" s="4">
        <v>49.5</v>
      </c>
      <c r="M9" s="4">
        <v>47</v>
      </c>
      <c r="N9" s="4">
        <v>39</v>
      </c>
      <c r="O9" s="4">
        <v>55</v>
      </c>
    </row>
    <row r="10" spans="1:19" x14ac:dyDescent="0.15">
      <c r="C10" s="25" t="s">
        <v>23</v>
      </c>
      <c r="D10" s="4">
        <v>19</v>
      </c>
      <c r="E10" s="4">
        <v>20</v>
      </c>
      <c r="F10" s="4">
        <v>18</v>
      </c>
      <c r="G10" s="4">
        <v>37</v>
      </c>
      <c r="H10" s="4">
        <v>35</v>
      </c>
      <c r="I10" s="4">
        <v>38</v>
      </c>
      <c r="J10" s="4">
        <v>31</v>
      </c>
      <c r="K10" s="4">
        <v>40</v>
      </c>
      <c r="L10" s="4">
        <v>36</v>
      </c>
      <c r="M10" s="4">
        <v>39</v>
      </c>
      <c r="N10" s="4">
        <v>35</v>
      </c>
      <c r="O10" s="4">
        <v>40</v>
      </c>
    </row>
    <row r="11" spans="1:19" x14ac:dyDescent="0.15">
      <c r="C11" s="25" t="s">
        <v>24</v>
      </c>
      <c r="D11" s="4">
        <v>12.38</v>
      </c>
      <c r="E11" s="4">
        <v>19.170000000000002</v>
      </c>
      <c r="F11" s="4">
        <v>15.7</v>
      </c>
      <c r="G11" s="4">
        <v>22.93</v>
      </c>
      <c r="H11" s="4">
        <v>12.82</v>
      </c>
      <c r="I11" s="4">
        <v>17.8</v>
      </c>
      <c r="J11" s="4">
        <v>30</v>
      </c>
      <c r="K11" s="4">
        <v>18</v>
      </c>
      <c r="L11" s="4">
        <v>24</v>
      </c>
      <c r="M11" s="4">
        <v>19.95</v>
      </c>
      <c r="N11" s="4">
        <v>12.21</v>
      </c>
      <c r="O11" s="4">
        <v>23.57</v>
      </c>
    </row>
    <row r="13" spans="1:19" ht="16" x14ac:dyDescent="0.2">
      <c r="C13" s="27"/>
      <c r="D13" s="18" t="s">
        <v>1</v>
      </c>
      <c r="E13" s="18" t="s">
        <v>2</v>
      </c>
      <c r="F13" s="18" t="s">
        <v>3</v>
      </c>
      <c r="G13" s="18" t="s">
        <v>4</v>
      </c>
      <c r="H13" s="27"/>
      <c r="I13" s="27"/>
      <c r="J13" s="18" t="s">
        <v>1</v>
      </c>
      <c r="K13" s="18" t="s">
        <v>2</v>
      </c>
      <c r="L13" s="18" t="s">
        <v>3</v>
      </c>
      <c r="M13" s="18" t="s">
        <v>4</v>
      </c>
      <c r="N13" s="27"/>
      <c r="O13" s="27"/>
      <c r="P13" s="18" t="s">
        <v>1</v>
      </c>
      <c r="Q13" s="18" t="s">
        <v>2</v>
      </c>
      <c r="R13" s="18" t="s">
        <v>3</v>
      </c>
      <c r="S13" s="18" t="s">
        <v>4</v>
      </c>
    </row>
    <row r="14" spans="1:19" ht="16" x14ac:dyDescent="0.2">
      <c r="C14" s="26" t="s">
        <v>58</v>
      </c>
      <c r="D14" s="17">
        <f>AVERAGE(D8:F8)</f>
        <v>56.593333333333334</v>
      </c>
      <c r="E14" s="17">
        <f>AVERAGE(G8:I8)</f>
        <v>50.03</v>
      </c>
      <c r="F14" s="17">
        <f>AVERAGE(J8:L8)</f>
        <v>49.833333333333336</v>
      </c>
      <c r="G14" s="17">
        <f>AVERAGE(M8:O8)</f>
        <v>49.900000000000006</v>
      </c>
      <c r="H14" s="27"/>
      <c r="I14" s="26" t="s">
        <v>61</v>
      </c>
      <c r="J14" s="17">
        <f>STDEV(D8:F8)</f>
        <v>4.5597075929639743</v>
      </c>
      <c r="K14" s="17">
        <f>STDEV(G8:I8)</f>
        <v>7.615044320291207</v>
      </c>
      <c r="L14" s="17">
        <f>STDEV(J8:L8)</f>
        <v>5.8410301602828012</v>
      </c>
      <c r="M14" s="17">
        <f>STDEV(M8:O8)</f>
        <v>9.3891586417526884</v>
      </c>
      <c r="N14" s="27"/>
      <c r="O14" s="26" t="s">
        <v>65</v>
      </c>
      <c r="P14" s="17">
        <f>J14/SQRT(3)</f>
        <v>2.6325484062237314</v>
      </c>
      <c r="Q14" s="17">
        <f>K14/SQRT(3)</f>
        <v>4.3965478882110594</v>
      </c>
      <c r="R14" s="17">
        <f>L14/SQRT(3)</f>
        <v>3.3723203353839986</v>
      </c>
      <c r="S14" s="17">
        <f>M14/SQRT(3)</f>
        <v>5.4208332692800161</v>
      </c>
    </row>
    <row r="15" spans="1:19" ht="16" x14ac:dyDescent="0.2">
      <c r="C15" s="26" t="s">
        <v>57</v>
      </c>
      <c r="D15" s="17">
        <f>AVERAGE(D9:F9)</f>
        <v>50</v>
      </c>
      <c r="E15" s="17">
        <f t="shared" ref="E15:E17" si="0">AVERAGE(G9:I9)</f>
        <v>48.666666666666664</v>
      </c>
      <c r="F15" s="17">
        <f t="shared" ref="F15:F17" si="1">AVERAGE(J9:L9)</f>
        <v>49.5</v>
      </c>
      <c r="G15" s="17">
        <f t="shared" ref="G15:G17" si="2">AVERAGE(M9:O9)</f>
        <v>47</v>
      </c>
      <c r="H15" s="27"/>
      <c r="I15" s="26" t="s">
        <v>62</v>
      </c>
      <c r="J15" s="17">
        <f t="shared" ref="J15:J17" si="3">STDEV(D9:F9)</f>
        <v>2</v>
      </c>
      <c r="K15" s="17">
        <f t="shared" ref="K15:K17" si="4">STDEV(G9:I9)</f>
        <v>2.0816659994661326</v>
      </c>
      <c r="L15" s="17">
        <f t="shared" ref="L15:L16" si="5">STDEV(J9:L9)</f>
        <v>0.5</v>
      </c>
      <c r="M15" s="17">
        <f t="shared" ref="M15:M16" si="6">STDEV(M9:O9)</f>
        <v>8</v>
      </c>
      <c r="N15" s="27"/>
      <c r="O15" s="26" t="s">
        <v>66</v>
      </c>
      <c r="P15" s="17">
        <f t="shared" ref="P15:Q17" si="7">J15/SQRT(3)</f>
        <v>1.1547005383792517</v>
      </c>
      <c r="Q15" s="17">
        <f>K15/SQRT(3)</f>
        <v>1.2018504251546631</v>
      </c>
      <c r="R15" s="17">
        <f t="shared" ref="R15:S17" si="8">L15/SQRT(3)</f>
        <v>0.28867513459481292</v>
      </c>
      <c r="S15" s="17">
        <f t="shared" si="8"/>
        <v>4.6188021535170067</v>
      </c>
    </row>
    <row r="16" spans="1:19" ht="16" x14ac:dyDescent="0.2">
      <c r="C16" s="26" t="s">
        <v>59</v>
      </c>
      <c r="D16" s="17">
        <f>AVERAGE(D10:F10)</f>
        <v>19</v>
      </c>
      <c r="E16" s="17">
        <f t="shared" si="0"/>
        <v>36.666666666666664</v>
      </c>
      <c r="F16" s="17">
        <f t="shared" si="1"/>
        <v>35.666666666666664</v>
      </c>
      <c r="G16" s="17">
        <f t="shared" si="2"/>
        <v>38</v>
      </c>
      <c r="H16" s="27"/>
      <c r="I16" s="26" t="s">
        <v>63</v>
      </c>
      <c r="J16" s="17">
        <f t="shared" si="3"/>
        <v>1</v>
      </c>
      <c r="K16" s="17">
        <f t="shared" si="4"/>
        <v>1.5275252316519465</v>
      </c>
      <c r="L16" s="17">
        <f t="shared" si="5"/>
        <v>4.5092497528228863</v>
      </c>
      <c r="M16" s="17">
        <f t="shared" si="6"/>
        <v>2.6457513110645907</v>
      </c>
      <c r="N16" s="27"/>
      <c r="O16" s="26" t="s">
        <v>67</v>
      </c>
      <c r="P16" s="17">
        <f t="shared" si="7"/>
        <v>0.57735026918962584</v>
      </c>
      <c r="Q16" s="17">
        <f t="shared" si="7"/>
        <v>0.88191710368819687</v>
      </c>
      <c r="R16" s="17">
        <f t="shared" si="8"/>
        <v>2.6034165586355469</v>
      </c>
      <c r="S16" s="17">
        <f>M16/SQRT(3)</f>
        <v>1.5275252316519468</v>
      </c>
    </row>
    <row r="17" spans="2:19" ht="16" x14ac:dyDescent="0.2">
      <c r="C17" s="26" t="s">
        <v>60</v>
      </c>
      <c r="D17" s="17">
        <f>AVERAGE(D11:F11)</f>
        <v>15.75</v>
      </c>
      <c r="E17" s="17">
        <f t="shared" si="0"/>
        <v>17.849999999999998</v>
      </c>
      <c r="F17" s="17">
        <f t="shared" si="1"/>
        <v>24</v>
      </c>
      <c r="G17" s="17">
        <f t="shared" si="2"/>
        <v>18.576666666666664</v>
      </c>
      <c r="H17" s="27"/>
      <c r="I17" s="26" t="s">
        <v>64</v>
      </c>
      <c r="J17" s="17">
        <f t="shared" si="3"/>
        <v>3.3952761301549605</v>
      </c>
      <c r="K17" s="17">
        <f t="shared" si="4"/>
        <v>5.0551854565386707</v>
      </c>
      <c r="L17" s="17">
        <f>STDEV(J11:L11)</f>
        <v>6</v>
      </c>
      <c r="M17" s="17">
        <f>STDEV(M11:O11)</f>
        <v>5.8031830346227586</v>
      </c>
      <c r="N17" s="27"/>
      <c r="O17" s="26" t="s">
        <v>68</v>
      </c>
      <c r="P17" s="17">
        <f t="shared" si="7"/>
        <v>1.9602635877180774</v>
      </c>
      <c r="Q17" s="17">
        <f t="shared" si="7"/>
        <v>2.9186126841360829</v>
      </c>
      <c r="R17" s="17">
        <f t="shared" si="8"/>
        <v>3.4641016151377548</v>
      </c>
      <c r="S17" s="17">
        <f t="shared" si="8"/>
        <v>3.3504692871961193</v>
      </c>
    </row>
    <row r="21" spans="2:19" ht="18" x14ac:dyDescent="0.2">
      <c r="B21" s="19" t="s">
        <v>52</v>
      </c>
      <c r="C21" s="20"/>
      <c r="D21" s="20"/>
      <c r="E21" s="20"/>
      <c r="F21" s="20"/>
      <c r="G21" s="20"/>
      <c r="K21"/>
    </row>
    <row r="23" spans="2:19" ht="19" customHeight="1" x14ac:dyDescent="0.15">
      <c r="B23" s="3" t="s">
        <v>56</v>
      </c>
    </row>
    <row r="24" spans="2:19" ht="60" x14ac:dyDescent="0.2">
      <c r="B24" s="31" t="s">
        <v>69</v>
      </c>
      <c r="C24" s="32" t="s">
        <v>70</v>
      </c>
      <c r="D24" s="32" t="s">
        <v>36</v>
      </c>
      <c r="E24" s="32" t="s">
        <v>37</v>
      </c>
      <c r="F24" s="32" t="s">
        <v>47</v>
      </c>
      <c r="G24" s="32" t="s">
        <v>38</v>
      </c>
      <c r="K24"/>
    </row>
    <row r="25" spans="2:19" x14ac:dyDescent="0.15">
      <c r="B25" s="2" t="s">
        <v>43</v>
      </c>
      <c r="C25" s="1">
        <v>8.1539999999999999</v>
      </c>
      <c r="D25" s="1">
        <v>7.0000000000000001E-3</v>
      </c>
      <c r="E25" s="1" t="s">
        <v>11</v>
      </c>
      <c r="F25" s="1" t="s">
        <v>41</v>
      </c>
      <c r="G25" s="1"/>
    </row>
    <row r="26" spans="2:19" x14ac:dyDescent="0.15">
      <c r="B26" s="2" t="s">
        <v>39</v>
      </c>
      <c r="C26" s="1">
        <v>82.45</v>
      </c>
      <c r="D26" s="46" t="s">
        <v>40</v>
      </c>
      <c r="E26" s="1" t="s">
        <v>10</v>
      </c>
      <c r="F26" s="1" t="s">
        <v>41</v>
      </c>
      <c r="G26" s="1">
        <v>0.53859999999999997</v>
      </c>
    </row>
    <row r="27" spans="2:19" x14ac:dyDescent="0.15">
      <c r="B27" s="2" t="s">
        <v>42</v>
      </c>
      <c r="C27" s="1">
        <v>1.2350000000000001</v>
      </c>
      <c r="D27" s="1">
        <v>0.25</v>
      </c>
      <c r="E27" s="1" t="s">
        <v>9</v>
      </c>
      <c r="F27" s="1" t="s">
        <v>49</v>
      </c>
      <c r="G27" s="1"/>
    </row>
    <row r="28" spans="2:19" x14ac:dyDescent="0.15">
      <c r="B28" s="2" t="s">
        <v>71</v>
      </c>
      <c r="C28" s="1">
        <v>1.982</v>
      </c>
      <c r="D28" s="1">
        <v>0.49</v>
      </c>
      <c r="E28" s="1" t="s">
        <v>9</v>
      </c>
      <c r="F28" s="1" t="s">
        <v>49</v>
      </c>
      <c r="G28" s="1"/>
    </row>
    <row r="30" spans="2:19" x14ac:dyDescent="0.15">
      <c r="B30" s="3" t="s">
        <v>44</v>
      </c>
    </row>
    <row r="32" spans="2:19" ht="30" x14ac:dyDescent="0.15">
      <c r="B32" s="29" t="s">
        <v>44</v>
      </c>
      <c r="C32" s="30" t="s">
        <v>45</v>
      </c>
      <c r="D32" s="30" t="s">
        <v>46</v>
      </c>
      <c r="E32" s="30" t="s">
        <v>47</v>
      </c>
      <c r="F32" s="30" t="s">
        <v>48</v>
      </c>
      <c r="G32" s="30" t="s">
        <v>5</v>
      </c>
    </row>
    <row r="33" spans="2:7" x14ac:dyDescent="0.15">
      <c r="B33" s="2"/>
      <c r="C33" s="1"/>
      <c r="D33" s="1"/>
      <c r="E33" s="1"/>
      <c r="F33" s="1"/>
      <c r="G33" s="1"/>
    </row>
    <row r="34" spans="2:7" x14ac:dyDescent="0.15">
      <c r="B34" s="2" t="s">
        <v>16</v>
      </c>
      <c r="C34" s="1"/>
      <c r="D34" s="1"/>
      <c r="E34" s="1"/>
      <c r="F34" s="1"/>
      <c r="G34" s="1"/>
    </row>
    <row r="35" spans="2:7" x14ac:dyDescent="0.15">
      <c r="B35" s="2" t="s">
        <v>6</v>
      </c>
      <c r="C35" s="1">
        <v>6.5629999999999997</v>
      </c>
      <c r="D35" s="1" t="s">
        <v>106</v>
      </c>
      <c r="E35" s="1" t="s">
        <v>49</v>
      </c>
      <c r="F35" s="1" t="s">
        <v>9</v>
      </c>
      <c r="G35" s="1">
        <v>0.52</v>
      </c>
    </row>
    <row r="36" spans="2:7" x14ac:dyDescent="0.15">
      <c r="B36" s="2" t="s">
        <v>7</v>
      </c>
      <c r="C36" s="1">
        <v>6.76</v>
      </c>
      <c r="D36" s="1" t="s">
        <v>107</v>
      </c>
      <c r="E36" s="1" t="s">
        <v>49</v>
      </c>
      <c r="F36" s="1" t="s">
        <v>9</v>
      </c>
      <c r="G36" s="1">
        <v>0.38</v>
      </c>
    </row>
    <row r="37" spans="2:7" x14ac:dyDescent="0.15">
      <c r="B37" s="2" t="s">
        <v>8</v>
      </c>
      <c r="C37" s="1">
        <v>6.6929999999999996</v>
      </c>
      <c r="D37" s="1" t="s">
        <v>108</v>
      </c>
      <c r="E37" s="1" t="s">
        <v>49</v>
      </c>
      <c r="F37" s="1" t="s">
        <v>9</v>
      </c>
      <c r="G37" s="1">
        <v>0.61</v>
      </c>
    </row>
    <row r="38" spans="2:7" x14ac:dyDescent="0.15">
      <c r="B38" s="2"/>
      <c r="C38" s="1"/>
      <c r="D38" s="1"/>
      <c r="E38" s="1"/>
      <c r="F38" s="1"/>
      <c r="G38" s="1"/>
    </row>
    <row r="39" spans="2:7" x14ac:dyDescent="0.15">
      <c r="B39" s="2" t="s">
        <v>17</v>
      </c>
      <c r="C39" s="1"/>
      <c r="D39" s="1"/>
      <c r="E39" s="1"/>
      <c r="F39" s="1"/>
      <c r="G39" s="1"/>
    </row>
    <row r="40" spans="2:7" x14ac:dyDescent="0.15">
      <c r="B40" s="2" t="s">
        <v>6</v>
      </c>
      <c r="C40" s="1">
        <v>1.333</v>
      </c>
      <c r="D40" s="1" t="s">
        <v>109</v>
      </c>
      <c r="E40" s="1" t="s">
        <v>49</v>
      </c>
      <c r="F40" s="1" t="s">
        <v>9</v>
      </c>
      <c r="G40" s="1">
        <v>0.77</v>
      </c>
    </row>
    <row r="41" spans="2:7" x14ac:dyDescent="0.15">
      <c r="B41" s="2" t="s">
        <v>7</v>
      </c>
      <c r="C41" s="1">
        <v>0.5</v>
      </c>
      <c r="D41" s="1" t="s">
        <v>110</v>
      </c>
      <c r="E41" s="1" t="s">
        <v>49</v>
      </c>
      <c r="F41" s="1" t="s">
        <v>9</v>
      </c>
      <c r="G41" s="1">
        <v>0.95</v>
      </c>
    </row>
    <row r="42" spans="2:7" x14ac:dyDescent="0.15">
      <c r="B42" s="2" t="s">
        <v>8</v>
      </c>
      <c r="C42" s="1">
        <v>3</v>
      </c>
      <c r="D42" s="1" t="s">
        <v>111</v>
      </c>
      <c r="E42" s="1" t="s">
        <v>49</v>
      </c>
      <c r="F42" s="1" t="s">
        <v>9</v>
      </c>
      <c r="G42" s="1">
        <v>0.86</v>
      </c>
    </row>
    <row r="43" spans="2:7" x14ac:dyDescent="0.15">
      <c r="B43" s="2"/>
      <c r="C43" s="1"/>
      <c r="D43" s="1"/>
      <c r="E43" s="1"/>
      <c r="F43" s="1"/>
      <c r="G43" s="1"/>
    </row>
    <row r="44" spans="2:7" x14ac:dyDescent="0.15">
      <c r="B44" s="2" t="s">
        <v>18</v>
      </c>
      <c r="C44" s="1"/>
      <c r="D44" s="1"/>
      <c r="E44" s="1"/>
      <c r="F44" s="1"/>
      <c r="G44" s="1"/>
    </row>
    <row r="45" spans="2:7" x14ac:dyDescent="0.15">
      <c r="B45" s="2" t="s">
        <v>6</v>
      </c>
      <c r="C45" s="1">
        <v>-17.670000000000002</v>
      </c>
      <c r="D45" s="1" t="s">
        <v>112</v>
      </c>
      <c r="E45" s="1" t="s">
        <v>41</v>
      </c>
      <c r="F45" s="1" t="s">
        <v>10</v>
      </c>
      <c r="G45" s="46" t="s">
        <v>40</v>
      </c>
    </row>
    <row r="46" spans="2:7" x14ac:dyDescent="0.15">
      <c r="B46" s="2" t="s">
        <v>7</v>
      </c>
      <c r="C46" s="1">
        <v>-16.670000000000002</v>
      </c>
      <c r="D46" s="1" t="s">
        <v>113</v>
      </c>
      <c r="E46" s="1" t="s">
        <v>41</v>
      </c>
      <c r="F46" s="1" t="s">
        <v>12</v>
      </c>
      <c r="G46" s="1">
        <v>0.04</v>
      </c>
    </row>
    <row r="47" spans="2:7" x14ac:dyDescent="0.15">
      <c r="B47" s="2" t="s">
        <v>8</v>
      </c>
      <c r="C47" s="1">
        <v>-19</v>
      </c>
      <c r="D47" s="1" t="s">
        <v>114</v>
      </c>
      <c r="E47" s="1" t="s">
        <v>41</v>
      </c>
      <c r="F47" s="1" t="s">
        <v>11</v>
      </c>
      <c r="G47" s="1">
        <v>6.0000000000000001E-3</v>
      </c>
    </row>
    <row r="48" spans="2:7" x14ac:dyDescent="0.15">
      <c r="B48" s="2"/>
      <c r="C48" s="1"/>
      <c r="D48" s="1"/>
      <c r="E48" s="1"/>
      <c r="F48" s="1"/>
      <c r="G48" s="1"/>
    </row>
    <row r="49" spans="2:7" x14ac:dyDescent="0.15">
      <c r="B49" s="2" t="s">
        <v>19</v>
      </c>
      <c r="C49" s="1"/>
      <c r="D49" s="1"/>
      <c r="E49" s="1"/>
      <c r="F49" s="1"/>
      <c r="G49" s="1"/>
    </row>
    <row r="50" spans="2:7" x14ac:dyDescent="0.15">
      <c r="B50" s="2" t="s">
        <v>6</v>
      </c>
      <c r="C50" s="1">
        <v>-2.1</v>
      </c>
      <c r="D50" s="1" t="s">
        <v>115</v>
      </c>
      <c r="E50" s="1" t="s">
        <v>49</v>
      </c>
      <c r="F50" s="1" t="s">
        <v>9</v>
      </c>
      <c r="G50" s="1">
        <v>0.88</v>
      </c>
    </row>
    <row r="51" spans="2:7" x14ac:dyDescent="0.15">
      <c r="B51" s="2" t="s">
        <v>7</v>
      </c>
      <c r="C51" s="1">
        <v>-8.25</v>
      </c>
      <c r="D51" s="1" t="s">
        <v>116</v>
      </c>
      <c r="E51" s="1" t="s">
        <v>49</v>
      </c>
      <c r="F51" s="1" t="s">
        <v>9</v>
      </c>
      <c r="G51" s="1">
        <v>0.25</v>
      </c>
    </row>
    <row r="52" spans="2:7" x14ac:dyDescent="0.15">
      <c r="B52" s="2" t="s">
        <v>8</v>
      </c>
      <c r="C52" s="1">
        <v>-2.827</v>
      </c>
      <c r="D52" s="1" t="s">
        <v>117</v>
      </c>
      <c r="E52" s="1" t="s">
        <v>49</v>
      </c>
      <c r="F52" s="1" t="s">
        <v>9</v>
      </c>
      <c r="G52" s="1">
        <v>0.81</v>
      </c>
    </row>
  </sheetData>
  <mergeCells count="4">
    <mergeCell ref="D6:F6"/>
    <mergeCell ref="G6:I6"/>
    <mergeCell ref="J6:L6"/>
    <mergeCell ref="M6:O6"/>
  </mergeCells>
  <pageMargins left="0.7" right="0.7" top="0.75" bottom="0.75" header="0.3" footer="0.3"/>
  <ignoredErrors>
    <ignoredError sqref="D14:S17" formulaRang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2:H56"/>
  <sheetViews>
    <sheetView workbookViewId="0">
      <selection activeCell="M36" sqref="M36"/>
    </sheetView>
  </sheetViews>
  <sheetFormatPr baseColWidth="10" defaultRowHeight="16" x14ac:dyDescent="0.2"/>
  <cols>
    <col min="2" max="2" width="15.1640625" customWidth="1"/>
    <col min="7" max="7" width="16.1640625" customWidth="1"/>
  </cols>
  <sheetData>
    <row r="2" spans="1:7" s="9" customFormat="1" ht="18" x14ac:dyDescent="0.2">
      <c r="A2" s="53" t="s">
        <v>1172</v>
      </c>
      <c r="B2" s="8"/>
      <c r="C2" s="8"/>
    </row>
    <row r="4" spans="1:7" ht="18" x14ac:dyDescent="0.2">
      <c r="A4" s="14" t="s">
        <v>594</v>
      </c>
      <c r="B4" s="8"/>
    </row>
    <row r="6" spans="1:7" x14ac:dyDescent="0.2">
      <c r="B6" s="17" t="s">
        <v>163</v>
      </c>
      <c r="C6" s="17" t="s">
        <v>162</v>
      </c>
      <c r="D6" s="18" t="s">
        <v>1</v>
      </c>
      <c r="E6" s="18" t="s">
        <v>2</v>
      </c>
      <c r="F6" s="18" t="s">
        <v>3</v>
      </c>
      <c r="G6" s="18" t="s">
        <v>4</v>
      </c>
    </row>
    <row r="7" spans="1:7" x14ac:dyDescent="0.2">
      <c r="B7" s="11" t="s">
        <v>32</v>
      </c>
      <c r="C7" s="17">
        <v>1</v>
      </c>
      <c r="D7" s="17">
        <v>1.0963883677298301</v>
      </c>
      <c r="E7" s="17">
        <v>5.52086987022098</v>
      </c>
      <c r="F7" s="17">
        <v>2.0225039168209702</v>
      </c>
      <c r="G7" s="17">
        <v>1.1794298490777</v>
      </c>
    </row>
    <row r="8" spans="1:7" x14ac:dyDescent="0.2">
      <c r="B8" s="11" t="s">
        <v>32</v>
      </c>
      <c r="C8" s="17">
        <v>2</v>
      </c>
      <c r="D8" s="17">
        <v>2.6524659114035698</v>
      </c>
      <c r="E8" s="17">
        <v>0.58917743965221403</v>
      </c>
      <c r="F8" s="17">
        <v>0.76979679628686204</v>
      </c>
      <c r="G8" s="17">
        <v>5.2171644711099502E-2</v>
      </c>
    </row>
    <row r="9" spans="1:7" x14ac:dyDescent="0.2">
      <c r="B9" s="11" t="s">
        <v>32</v>
      </c>
      <c r="C9" s="17">
        <v>3</v>
      </c>
      <c r="D9" s="17">
        <v>2.5136563485366601</v>
      </c>
      <c r="E9" s="17">
        <v>3.8047379755922499</v>
      </c>
      <c r="F9" s="17">
        <v>0.27409927016941299</v>
      </c>
      <c r="G9" s="17">
        <v>2.0445115050924199</v>
      </c>
    </row>
    <row r="10" spans="1:7" x14ac:dyDescent="0.2">
      <c r="B10" s="11" t="s">
        <v>32</v>
      </c>
      <c r="C10" s="17">
        <v>4</v>
      </c>
      <c r="D10" s="17">
        <v>0.62453426067208395</v>
      </c>
      <c r="E10" s="17">
        <v>1.6403878170600299</v>
      </c>
      <c r="F10" s="17">
        <v>1.5720243824189899</v>
      </c>
      <c r="G10" s="17">
        <v>1.8854180057419501</v>
      </c>
    </row>
    <row r="11" spans="1:7" x14ac:dyDescent="0.2">
      <c r="B11" s="11" t="s">
        <v>32</v>
      </c>
      <c r="C11" s="17">
        <v>5</v>
      </c>
      <c r="D11" s="17">
        <v>0.771952396268897</v>
      </c>
      <c r="E11" s="17">
        <v>4.9072382966452004</v>
      </c>
      <c r="F11" s="17">
        <v>1.11319628081549</v>
      </c>
      <c r="G11" s="17">
        <v>1.5804997495687001</v>
      </c>
    </row>
    <row r="12" spans="1:7" x14ac:dyDescent="0.2">
      <c r="B12" s="11" t="s">
        <v>32</v>
      </c>
      <c r="C12" s="17">
        <v>6</v>
      </c>
      <c r="D12" s="17">
        <v>2.4239253640247602</v>
      </c>
      <c r="E12" s="17">
        <v>0.71367048111234199</v>
      </c>
      <c r="F12" s="17">
        <v>2.1253553540002699</v>
      </c>
      <c r="G12" s="17">
        <v>1.4924239547336</v>
      </c>
    </row>
    <row r="13" spans="1:7" x14ac:dyDescent="0.2">
      <c r="B13" s="11" t="s">
        <v>32</v>
      </c>
      <c r="C13" s="17">
        <v>7</v>
      </c>
      <c r="D13" s="17">
        <v>2.5469022687609102</v>
      </c>
      <c r="E13" s="17">
        <v>3.9548022598870101</v>
      </c>
      <c r="F13" s="17">
        <v>1.96349905601007</v>
      </c>
      <c r="G13" s="17">
        <v>1.4115609439272601</v>
      </c>
    </row>
    <row r="14" spans="1:7" x14ac:dyDescent="0.2">
      <c r="B14" s="11" t="s">
        <v>32</v>
      </c>
      <c r="C14" s="17">
        <v>8</v>
      </c>
      <c r="D14" s="17">
        <v>1.09932391579179</v>
      </c>
      <c r="E14" s="17">
        <v>0.93291870279875599</v>
      </c>
      <c r="F14" s="17">
        <v>1.62194853749725</v>
      </c>
      <c r="G14" s="17">
        <v>1.9298245614035101</v>
      </c>
    </row>
    <row r="15" spans="1:7" x14ac:dyDescent="0.2">
      <c r="B15" s="11" t="s">
        <v>32</v>
      </c>
      <c r="C15" s="17">
        <v>9</v>
      </c>
      <c r="D15" s="17">
        <v>3.2757266300078598</v>
      </c>
      <c r="E15" s="17">
        <v>0.16787912702853899</v>
      </c>
      <c r="F15" s="17">
        <v>4.1082164328657296</v>
      </c>
      <c r="G15" s="17">
        <v>2.3551156689721</v>
      </c>
    </row>
    <row r="16" spans="1:7" x14ac:dyDescent="0.2">
      <c r="B16" s="11" t="s">
        <v>32</v>
      </c>
      <c r="C16" s="17">
        <v>10</v>
      </c>
      <c r="D16" s="17">
        <v>1.33498913380938</v>
      </c>
      <c r="E16" s="17">
        <v>7.8943213515078201E-2</v>
      </c>
      <c r="F16" s="17">
        <v>0.759027831020471</v>
      </c>
      <c r="G16" s="17">
        <v>1.3538748832866501</v>
      </c>
    </row>
    <row r="17" spans="2:7" x14ac:dyDescent="0.2">
      <c r="B17" s="11" t="s">
        <v>33</v>
      </c>
      <c r="C17" s="17">
        <v>1</v>
      </c>
      <c r="D17" s="17">
        <v>2.1530521732118402</v>
      </c>
      <c r="E17" s="17">
        <v>2.0188933873144399</v>
      </c>
      <c r="F17" s="17">
        <v>2.5939714182778899</v>
      </c>
      <c r="G17" s="17">
        <v>2.0101483216237299</v>
      </c>
    </row>
    <row r="18" spans="2:7" x14ac:dyDescent="0.2">
      <c r="B18" s="11" t="s">
        <v>33</v>
      </c>
      <c r="C18" s="17">
        <v>2</v>
      </c>
      <c r="D18" s="17">
        <v>1.52165677484531</v>
      </c>
      <c r="E18" s="17">
        <v>0.90801421239636804</v>
      </c>
      <c r="F18" s="17">
        <v>1.99180327868852</v>
      </c>
      <c r="G18" s="17">
        <v>2.6614928098607602</v>
      </c>
    </row>
    <row r="19" spans="2:7" x14ac:dyDescent="0.2">
      <c r="B19" s="11" t="s">
        <v>33</v>
      </c>
      <c r="C19" s="17">
        <v>3</v>
      </c>
      <c r="D19" s="17">
        <v>2.2056833558863298</v>
      </c>
      <c r="E19" s="17">
        <v>1.5575038679731801</v>
      </c>
      <c r="F19" s="17">
        <v>1.0629599345870799</v>
      </c>
      <c r="G19" s="17">
        <v>1.5025252525252499</v>
      </c>
    </row>
    <row r="20" spans="2:7" x14ac:dyDescent="0.2">
      <c r="B20" s="11" t="s">
        <v>33</v>
      </c>
      <c r="C20" s="17">
        <v>4</v>
      </c>
      <c r="D20" s="17">
        <v>1.6577977896029501</v>
      </c>
      <c r="E20" s="17">
        <v>0.33290179397077901</v>
      </c>
      <c r="F20" s="17">
        <v>0.62550120288692901</v>
      </c>
      <c r="G20" s="17">
        <v>0.38586920364579902</v>
      </c>
    </row>
    <row r="21" spans="2:7" x14ac:dyDescent="0.2">
      <c r="B21" s="11" t="s">
        <v>33</v>
      </c>
      <c r="C21" s="17">
        <v>5</v>
      </c>
      <c r="D21" s="17">
        <v>2.37930437792006</v>
      </c>
      <c r="E21" s="17">
        <v>0.33829939496454398</v>
      </c>
      <c r="F21" s="17">
        <v>1.7754254321318499</v>
      </c>
      <c r="G21" s="17">
        <v>0.15386982612709599</v>
      </c>
    </row>
    <row r="22" spans="2:7" x14ac:dyDescent="0.2">
      <c r="B22" s="11" t="s">
        <v>33</v>
      </c>
      <c r="C22" s="17">
        <v>6</v>
      </c>
      <c r="D22" s="17">
        <v>2.2491022491022501</v>
      </c>
      <c r="E22" s="17">
        <v>1.6914511241102299</v>
      </c>
      <c r="F22" s="17">
        <v>1.5436241610738299</v>
      </c>
      <c r="G22" s="17">
        <v>0.19563426688632601</v>
      </c>
    </row>
    <row r="23" spans="2:7" x14ac:dyDescent="0.2">
      <c r="B23" s="11" t="s">
        <v>33</v>
      </c>
      <c r="C23" s="17">
        <v>7</v>
      </c>
      <c r="D23" s="17">
        <v>1.65160486132752</v>
      </c>
      <c r="E23" s="17">
        <v>1.39691067830759</v>
      </c>
      <c r="F23" s="17">
        <v>1.6556583003082299</v>
      </c>
      <c r="G23" s="17">
        <v>1.63941912503425</v>
      </c>
    </row>
    <row r="24" spans="2:7" x14ac:dyDescent="0.2">
      <c r="B24" s="11" t="s">
        <v>33</v>
      </c>
      <c r="C24" s="17">
        <v>8</v>
      </c>
      <c r="D24" s="17">
        <v>2.4440729241302401</v>
      </c>
      <c r="E24" s="17">
        <v>1.6760563380281699</v>
      </c>
      <c r="F24" s="17">
        <v>2.6386341188090898</v>
      </c>
      <c r="G24" s="17">
        <v>2.3645784267545902</v>
      </c>
    </row>
    <row r="25" spans="2:7" x14ac:dyDescent="0.2">
      <c r="B25" s="11" t="s">
        <v>33</v>
      </c>
      <c r="C25" s="17">
        <v>9</v>
      </c>
      <c r="D25" s="17">
        <v>1.3378621932621699</v>
      </c>
      <c r="E25" s="17">
        <v>0.200662185211197</v>
      </c>
      <c r="F25" s="17">
        <v>0.91563113145846997</v>
      </c>
      <c r="G25" s="17">
        <v>0.24232633279483001</v>
      </c>
    </row>
    <row r="26" spans="2:7" x14ac:dyDescent="0.2">
      <c r="B26" s="11" t="s">
        <v>33</v>
      </c>
      <c r="C26" s="17">
        <v>10</v>
      </c>
      <c r="D26" s="17">
        <v>2.0882831061648099</v>
      </c>
      <c r="E26" s="17">
        <v>0.38130300440470699</v>
      </c>
      <c r="F26" s="17">
        <v>1.3035685188202699</v>
      </c>
      <c r="G26" s="17">
        <v>0.86206896551724099</v>
      </c>
    </row>
    <row r="27" spans="2:7" x14ac:dyDescent="0.2">
      <c r="B27" s="11" t="s">
        <v>34</v>
      </c>
      <c r="C27" s="17">
        <v>1</v>
      </c>
      <c r="D27" s="17">
        <v>1.44887916894478</v>
      </c>
      <c r="E27" s="17">
        <v>1.1291090995712201</v>
      </c>
      <c r="F27" s="17">
        <v>0.85354732810505196</v>
      </c>
      <c r="G27" s="17">
        <v>0.46832868158380198</v>
      </c>
    </row>
    <row r="28" spans="2:7" x14ac:dyDescent="0.2">
      <c r="B28" s="11" t="s">
        <v>34</v>
      </c>
      <c r="C28" s="17">
        <v>2</v>
      </c>
      <c r="D28" s="17">
        <v>1.4435797665369601</v>
      </c>
      <c r="E28" s="17">
        <v>2.69570011025358</v>
      </c>
      <c r="F28" s="17">
        <v>4.2748492001049003</v>
      </c>
      <c r="G28" s="17">
        <v>3.3222215944403599</v>
      </c>
    </row>
    <row r="29" spans="2:7" x14ac:dyDescent="0.2">
      <c r="B29" s="11" t="s">
        <v>34</v>
      </c>
      <c r="C29" s="17">
        <v>3</v>
      </c>
      <c r="D29" s="17">
        <v>4.7640449438202204</v>
      </c>
      <c r="E29" s="17">
        <v>3.4507042253521099</v>
      </c>
      <c r="F29" s="17">
        <v>0.73007503548975905</v>
      </c>
      <c r="G29" s="17">
        <v>4.2307692307692299</v>
      </c>
    </row>
    <row r="30" spans="2:7" x14ac:dyDescent="0.2">
      <c r="B30" s="11" t="s">
        <v>34</v>
      </c>
      <c r="C30" s="17">
        <v>4</v>
      </c>
      <c r="D30" s="17">
        <v>0.83853805227850997</v>
      </c>
      <c r="E30" s="17">
        <v>1.63795298311126</v>
      </c>
      <c r="F30" s="17">
        <v>4.0209282046313302</v>
      </c>
      <c r="G30" s="17">
        <v>9.3591719885487798E-2</v>
      </c>
    </row>
    <row r="31" spans="2:7" x14ac:dyDescent="0.2">
      <c r="B31" s="11" t="s">
        <v>34</v>
      </c>
      <c r="C31" s="17">
        <v>5</v>
      </c>
      <c r="D31" s="17">
        <v>4.1511851377322202</v>
      </c>
      <c r="E31" s="17">
        <v>6.2421972534332099E-2</v>
      </c>
      <c r="F31" s="17">
        <v>1.0247191011236001</v>
      </c>
      <c r="G31" s="17">
        <v>0.92797384363881097</v>
      </c>
    </row>
    <row r="32" spans="2:7" x14ac:dyDescent="0.2">
      <c r="B32" s="11" t="s">
        <v>34</v>
      </c>
      <c r="C32" s="17">
        <v>6</v>
      </c>
      <c r="D32" s="17">
        <v>0.66687029118305796</v>
      </c>
      <c r="E32" s="17">
        <v>1.7607496410488901</v>
      </c>
      <c r="F32" s="17">
        <v>2.3112186425569798</v>
      </c>
      <c r="G32" s="17">
        <v>1.5901677539608601</v>
      </c>
    </row>
    <row r="33" spans="2:7" x14ac:dyDescent="0.2">
      <c r="B33" s="11" t="s">
        <v>34</v>
      </c>
      <c r="C33" s="17">
        <v>7</v>
      </c>
      <c r="D33" s="17">
        <v>1.39886400976388</v>
      </c>
      <c r="E33" s="17">
        <v>1.22799836266885</v>
      </c>
      <c r="F33" s="17">
        <v>0.36923631123919298</v>
      </c>
      <c r="G33" s="17">
        <v>1.2436138746975001</v>
      </c>
    </row>
    <row r="34" spans="2:7" x14ac:dyDescent="0.2">
      <c r="B34" s="11" t="s">
        <v>34</v>
      </c>
      <c r="C34" s="17">
        <v>8</v>
      </c>
      <c r="D34" s="17">
        <v>1.5807056139493201</v>
      </c>
      <c r="E34" s="17">
        <v>2.2880539499036598</v>
      </c>
      <c r="F34" s="17">
        <v>2.2799077790111899</v>
      </c>
      <c r="G34" s="17">
        <v>2.37229540442272</v>
      </c>
    </row>
    <row r="35" spans="2:7" x14ac:dyDescent="0.2">
      <c r="B35" s="11" t="s">
        <v>34</v>
      </c>
      <c r="C35" s="17">
        <v>9</v>
      </c>
      <c r="D35" s="17">
        <v>2.80337941628264</v>
      </c>
      <c r="E35" s="17">
        <v>0.25040606388738501</v>
      </c>
      <c r="F35" s="17">
        <v>1.0142630744849399</v>
      </c>
      <c r="G35" s="17">
        <v>1.45804403888117</v>
      </c>
    </row>
    <row r="36" spans="2:7" x14ac:dyDescent="0.2">
      <c r="B36" s="11" t="s">
        <v>34</v>
      </c>
      <c r="C36" s="17">
        <v>10</v>
      </c>
      <c r="D36" s="17">
        <v>0.450970110120608</v>
      </c>
      <c r="E36" s="17">
        <v>1.05333658061374</v>
      </c>
      <c r="F36" s="17">
        <v>0.82253433692868805</v>
      </c>
      <c r="G36" s="17">
        <v>1.2672381662318299</v>
      </c>
    </row>
    <row r="38" spans="2:7" x14ac:dyDescent="0.2">
      <c r="C38" s="103" t="s">
        <v>51</v>
      </c>
      <c r="D38" s="17">
        <f>AVERAGE(D7:D36)</f>
        <v>1.91917669710238</v>
      </c>
      <c r="E38" s="17">
        <f t="shared" ref="E38:G38" si="0">AVERAGE(E7:E36)</f>
        <v>1.6123018053046212</v>
      </c>
      <c r="F38" s="17">
        <f t="shared" si="0"/>
        <v>1.6712574789541104</v>
      </c>
      <c r="G38" s="17">
        <f t="shared" si="0"/>
        <v>1.4759002535265546</v>
      </c>
    </row>
    <row r="39" spans="2:7" x14ac:dyDescent="0.2">
      <c r="C39" s="103" t="s">
        <v>13</v>
      </c>
      <c r="D39" s="17">
        <f>STDEV(D7:D36)</f>
        <v>1.0007138021855979</v>
      </c>
      <c r="E39" s="17">
        <f t="shared" ref="E39:G39" si="1">STDEV(E7:E36)</f>
        <v>1.4462104114148495</v>
      </c>
      <c r="F39" s="17">
        <f t="shared" si="1"/>
        <v>1.0547237943526673</v>
      </c>
      <c r="G39" s="17">
        <f t="shared" si="1"/>
        <v>0.97796038719833089</v>
      </c>
    </row>
    <row r="40" spans="2:7" x14ac:dyDescent="0.2">
      <c r="C40" s="103" t="s">
        <v>14</v>
      </c>
      <c r="D40" s="45">
        <f>D39/(30^0.5)</f>
        <v>0.18270450768793819</v>
      </c>
      <c r="E40" s="45">
        <f t="shared" ref="E40:G40" si="2">E39/(30^0.5)</f>
        <v>0.26404068841024664</v>
      </c>
      <c r="F40" s="45">
        <f t="shared" si="2"/>
        <v>0.19256533803479861</v>
      </c>
      <c r="G40" s="45">
        <f t="shared" si="2"/>
        <v>0.17855032147167077</v>
      </c>
    </row>
    <row r="43" spans="2:7" ht="18" x14ac:dyDescent="0.2">
      <c r="B43" s="19" t="s">
        <v>52</v>
      </c>
      <c r="C43" s="20"/>
      <c r="D43" s="20"/>
      <c r="E43" s="20"/>
      <c r="F43" s="20"/>
      <c r="G43" s="20"/>
    </row>
    <row r="45" spans="2:7" x14ac:dyDescent="0.2">
      <c r="B45" s="15" t="s">
        <v>53</v>
      </c>
      <c r="C45" s="1"/>
    </row>
    <row r="46" spans="2:7" x14ac:dyDescent="0.2">
      <c r="B46" s="2" t="s">
        <v>0</v>
      </c>
      <c r="F46" s="46">
        <v>0.79890000000000005</v>
      </c>
    </row>
    <row r="47" spans="2:7" x14ac:dyDescent="0.2">
      <c r="B47" s="2" t="s">
        <v>36</v>
      </c>
      <c r="F47" s="46">
        <v>0.49690000000000001</v>
      </c>
    </row>
    <row r="48" spans="2:7" x14ac:dyDescent="0.2">
      <c r="B48" s="2" t="s">
        <v>37</v>
      </c>
      <c r="F48" s="46" t="s">
        <v>9</v>
      </c>
    </row>
    <row r="49" spans="2:8" x14ac:dyDescent="0.2">
      <c r="B49" s="2" t="s">
        <v>54</v>
      </c>
      <c r="F49" s="46" t="s">
        <v>49</v>
      </c>
    </row>
    <row r="50" spans="2:8" x14ac:dyDescent="0.2">
      <c r="B50" s="2" t="s">
        <v>55</v>
      </c>
      <c r="F50" s="1">
        <v>2.0240000000000001E-2</v>
      </c>
    </row>
    <row r="52" spans="2:8" x14ac:dyDescent="0.2">
      <c r="B52" s="3" t="s">
        <v>44</v>
      </c>
      <c r="C52" s="47"/>
      <c r="D52" s="47"/>
      <c r="E52" s="47"/>
      <c r="F52" s="47"/>
      <c r="G52" s="47"/>
      <c r="H52" s="47"/>
    </row>
    <row r="53" spans="2:8" x14ac:dyDescent="0.2">
      <c r="B53" s="47"/>
      <c r="C53" s="16" t="s">
        <v>45</v>
      </c>
      <c r="D53" s="16" t="s">
        <v>46</v>
      </c>
      <c r="E53" s="16" t="s">
        <v>47</v>
      </c>
      <c r="F53" s="16" t="s">
        <v>48</v>
      </c>
      <c r="G53" s="16" t="s">
        <v>5</v>
      </c>
      <c r="H53" s="47"/>
    </row>
    <row r="54" spans="2:8" x14ac:dyDescent="0.2">
      <c r="B54" s="2" t="s">
        <v>6</v>
      </c>
      <c r="C54" s="1">
        <v>0.30690000000000001</v>
      </c>
      <c r="D54" s="1" t="s">
        <v>165</v>
      </c>
      <c r="E54" s="1" t="s">
        <v>49</v>
      </c>
      <c r="F54" s="1" t="s">
        <v>9</v>
      </c>
      <c r="G54" s="1">
        <v>0.59350000000000003</v>
      </c>
    </row>
    <row r="55" spans="2:8" x14ac:dyDescent="0.2">
      <c r="B55" s="2" t="s">
        <v>7</v>
      </c>
      <c r="C55" s="1">
        <v>0.24790000000000001</v>
      </c>
      <c r="D55" s="1" t="s">
        <v>166</v>
      </c>
      <c r="E55" s="1" t="s">
        <v>49</v>
      </c>
      <c r="F55" s="1" t="s">
        <v>9</v>
      </c>
      <c r="G55" s="1">
        <v>0.73270000000000002</v>
      </c>
    </row>
    <row r="56" spans="2:8" x14ac:dyDescent="0.2">
      <c r="B56" s="2" t="s">
        <v>8</v>
      </c>
      <c r="C56" s="1">
        <v>0.44330000000000003</v>
      </c>
      <c r="D56" s="1" t="s">
        <v>167</v>
      </c>
      <c r="E56" s="1" t="s">
        <v>49</v>
      </c>
      <c r="F56" s="1" t="s">
        <v>9</v>
      </c>
      <c r="G56" s="1">
        <v>0.30449999999999999</v>
      </c>
    </row>
  </sheetData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2:O60"/>
  <sheetViews>
    <sheetView workbookViewId="0">
      <selection activeCell="M39" sqref="M39"/>
    </sheetView>
  </sheetViews>
  <sheetFormatPr baseColWidth="10" defaultRowHeight="16" x14ac:dyDescent="0.2"/>
  <cols>
    <col min="3" max="3" width="18.33203125" customWidth="1"/>
    <col min="5" max="5" width="15.5" customWidth="1"/>
  </cols>
  <sheetData>
    <row r="2" spans="1:15" s="9" customFormat="1" ht="18" x14ac:dyDescent="0.2">
      <c r="A2" s="53" t="s">
        <v>1173</v>
      </c>
      <c r="B2" s="8"/>
      <c r="C2" s="8"/>
    </row>
    <row r="4" spans="1:15" ht="18" x14ac:dyDescent="0.2">
      <c r="A4" s="14" t="s">
        <v>118</v>
      </c>
      <c r="B4" s="8"/>
      <c r="C4" s="8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x14ac:dyDescent="0.2">
      <c r="B6" s="9"/>
    </row>
    <row r="7" spans="1:15" x14ac:dyDescent="0.2">
      <c r="A7" s="27" t="s">
        <v>119</v>
      </c>
      <c r="B7" s="9"/>
    </row>
    <row r="8" spans="1:15" x14ac:dyDescent="0.2">
      <c r="A8" s="9"/>
      <c r="B8" s="9"/>
      <c r="C8" s="36"/>
      <c r="G8" s="9"/>
      <c r="H8" s="9"/>
      <c r="I8" s="9"/>
      <c r="J8" s="9"/>
      <c r="K8" s="9"/>
      <c r="L8" s="9"/>
      <c r="M8" s="9"/>
      <c r="N8" s="9"/>
      <c r="O8" s="9"/>
    </row>
    <row r="9" spans="1:15" x14ac:dyDescent="0.2">
      <c r="A9" s="9"/>
      <c r="B9" s="9"/>
      <c r="C9" s="36"/>
      <c r="D9" s="12" t="s">
        <v>1</v>
      </c>
      <c r="E9" s="12" t="s">
        <v>2</v>
      </c>
      <c r="F9" s="12" t="s">
        <v>3</v>
      </c>
      <c r="G9" s="12" t="s">
        <v>4</v>
      </c>
      <c r="H9" s="37"/>
      <c r="I9" s="37"/>
      <c r="J9" s="37"/>
      <c r="K9" s="37"/>
      <c r="L9" s="37"/>
      <c r="M9" s="37"/>
      <c r="N9" s="37"/>
      <c r="O9" s="37"/>
    </row>
    <row r="10" spans="1:15" x14ac:dyDescent="0.2">
      <c r="A10" s="9"/>
      <c r="B10" s="9"/>
      <c r="C10" s="10" t="s">
        <v>32</v>
      </c>
      <c r="D10" s="39">
        <v>40.6955405</v>
      </c>
      <c r="E10" s="39">
        <v>55.749185699999998</v>
      </c>
      <c r="F10" s="39">
        <v>58.3333333</v>
      </c>
      <c r="G10" s="39">
        <v>50.250863699999996</v>
      </c>
      <c r="H10" s="7"/>
      <c r="I10" s="7"/>
      <c r="J10" s="7"/>
      <c r="K10" s="7"/>
      <c r="L10" s="7"/>
      <c r="M10" s="7"/>
      <c r="N10" s="7"/>
      <c r="O10" s="7"/>
    </row>
    <row r="11" spans="1:15" x14ac:dyDescent="0.2">
      <c r="A11" s="9"/>
      <c r="B11" s="9"/>
      <c r="C11" s="10" t="s">
        <v>33</v>
      </c>
      <c r="D11" s="39">
        <v>37.603066599999998</v>
      </c>
      <c r="E11" s="39">
        <v>40.372141399999997</v>
      </c>
      <c r="F11" s="39">
        <v>56.56</v>
      </c>
      <c r="G11" s="39">
        <v>41.978022000000003</v>
      </c>
      <c r="H11" s="7"/>
      <c r="I11" s="7"/>
      <c r="J11" s="7"/>
      <c r="K11" s="7"/>
      <c r="L11" s="7"/>
      <c r="M11" s="7"/>
      <c r="N11" s="7"/>
      <c r="O11" s="7"/>
    </row>
    <row r="12" spans="1:15" x14ac:dyDescent="0.2">
      <c r="C12" s="10" t="s">
        <v>34</v>
      </c>
      <c r="D12" s="39">
        <v>52.796751899999997</v>
      </c>
      <c r="E12" s="39">
        <v>28.740213499999999</v>
      </c>
      <c r="F12" s="39">
        <v>41</v>
      </c>
      <c r="G12" s="39">
        <v>28.1909548</v>
      </c>
      <c r="H12" s="7"/>
      <c r="I12" s="7"/>
      <c r="J12" s="7"/>
      <c r="K12" s="7"/>
      <c r="L12" s="7"/>
      <c r="M12" s="7"/>
      <c r="N12" s="7"/>
      <c r="O12" s="7"/>
    </row>
    <row r="13" spans="1:15" x14ac:dyDescent="0.2">
      <c r="C13" s="38"/>
      <c r="D13" s="40"/>
      <c r="E13" s="40"/>
      <c r="F13" s="40"/>
      <c r="G13" s="40"/>
      <c r="H13" s="7"/>
      <c r="I13" s="7"/>
      <c r="J13" s="7"/>
      <c r="K13" s="7"/>
      <c r="L13" s="7"/>
      <c r="M13" s="7"/>
      <c r="N13" s="7"/>
      <c r="O13" s="7"/>
    </row>
    <row r="14" spans="1:15" x14ac:dyDescent="0.2">
      <c r="C14" s="17" t="s">
        <v>51</v>
      </c>
      <c r="D14" s="13">
        <f>AVERAGE(D10:D12)</f>
        <v>43.698453000000001</v>
      </c>
      <c r="E14" s="13">
        <f>AVERAGE(E10:E12)</f>
        <v>41.62051353333333</v>
      </c>
      <c r="F14" s="13">
        <f>AVERAGE(F10:F12)</f>
        <v>51.964444433333334</v>
      </c>
      <c r="G14" s="13">
        <f>AVERAGE(G10:G12)</f>
        <v>40.139946833333333</v>
      </c>
    </row>
    <row r="15" spans="1:15" x14ac:dyDescent="0.2">
      <c r="C15" s="17" t="s">
        <v>13</v>
      </c>
      <c r="D15" s="13">
        <f>STDEV(D10:D12)</f>
        <v>8.02964076785827</v>
      </c>
      <c r="E15" s="13">
        <f>STDEV(E10:E12)</f>
        <v>13.547692407290478</v>
      </c>
      <c r="F15" s="13">
        <f>STDEV(F10:F12)</f>
        <v>9.5367950091717777</v>
      </c>
      <c r="G15" s="13">
        <f>STDEV(G10:G12)</f>
        <v>11.144226550452567</v>
      </c>
    </row>
    <row r="16" spans="1:15" x14ac:dyDescent="0.2">
      <c r="C16" s="17" t="s">
        <v>14</v>
      </c>
      <c r="D16" s="13">
        <f>D15/SQRT(3)</f>
        <v>4.635915258818966</v>
      </c>
      <c r="E16" s="13">
        <f t="shared" ref="E16" si="0">E15/SQRT(3)</f>
        <v>7.8217638582474072</v>
      </c>
      <c r="F16" s="13">
        <f>F15/SQRT(3)</f>
        <v>5.5060711657516057</v>
      </c>
      <c r="G16" s="13">
        <f>G15/SQRT(3)</f>
        <v>6.4341221988139647</v>
      </c>
    </row>
    <row r="19" spans="3:8" ht="18" x14ac:dyDescent="0.2">
      <c r="C19" s="19" t="s">
        <v>52</v>
      </c>
      <c r="D19" s="20"/>
      <c r="E19" s="20"/>
      <c r="F19" s="20"/>
      <c r="G19" s="20"/>
      <c r="H19" s="20"/>
    </row>
    <row r="20" spans="3:8" x14ac:dyDescent="0.2">
      <c r="C20" s="9"/>
      <c r="D20" s="9"/>
      <c r="E20" s="9"/>
      <c r="F20" s="9"/>
      <c r="G20" s="9"/>
      <c r="H20" s="9"/>
    </row>
    <row r="21" spans="3:8" x14ac:dyDescent="0.2">
      <c r="C21" s="15" t="s">
        <v>53</v>
      </c>
      <c r="D21" s="9"/>
      <c r="E21" s="9"/>
      <c r="F21" s="9"/>
      <c r="G21" s="9"/>
      <c r="H21" s="9"/>
    </row>
    <row r="22" spans="3:8" x14ac:dyDescent="0.2">
      <c r="C22" s="2" t="s">
        <v>0</v>
      </c>
      <c r="D22" s="9"/>
      <c r="E22" s="9"/>
      <c r="F22" s="1">
        <v>0.7218</v>
      </c>
      <c r="G22" s="9"/>
      <c r="H22" s="9"/>
    </row>
    <row r="23" spans="3:8" x14ac:dyDescent="0.2">
      <c r="C23" s="2" t="s">
        <v>36</v>
      </c>
      <c r="D23" s="9"/>
      <c r="E23" s="9"/>
      <c r="F23" s="1">
        <v>0.56659999999999999</v>
      </c>
      <c r="G23" s="9"/>
      <c r="H23" s="9"/>
    </row>
    <row r="24" spans="3:8" x14ac:dyDescent="0.2">
      <c r="C24" s="2" t="s">
        <v>37</v>
      </c>
      <c r="D24" s="9"/>
      <c r="E24" s="9"/>
      <c r="F24" s="46" t="s">
        <v>9</v>
      </c>
      <c r="G24" s="16"/>
      <c r="H24" s="9"/>
    </row>
    <row r="25" spans="3:8" x14ac:dyDescent="0.2">
      <c r="C25" s="2" t="s">
        <v>54</v>
      </c>
      <c r="D25" s="9"/>
      <c r="E25" s="9"/>
      <c r="F25" s="46" t="s">
        <v>49</v>
      </c>
      <c r="G25" s="1"/>
      <c r="H25" s="9"/>
    </row>
    <row r="26" spans="3:8" x14ac:dyDescent="0.2">
      <c r="C26" s="2" t="s">
        <v>55</v>
      </c>
      <c r="D26" s="9"/>
      <c r="E26" s="9"/>
      <c r="F26" s="1">
        <v>0.21299999999999999</v>
      </c>
      <c r="G26" s="1"/>
      <c r="H26" s="9"/>
    </row>
    <row r="27" spans="3:8" x14ac:dyDescent="0.2">
      <c r="C27" s="9"/>
      <c r="D27" s="9"/>
      <c r="E27" s="9"/>
      <c r="F27" s="9"/>
      <c r="G27" s="9"/>
      <c r="H27" s="9"/>
    </row>
    <row r="28" spans="3:8" x14ac:dyDescent="0.2">
      <c r="C28" s="15" t="s">
        <v>44</v>
      </c>
      <c r="D28" s="9"/>
      <c r="E28" s="2"/>
      <c r="F28" s="1"/>
      <c r="G28" s="1"/>
      <c r="H28" s="9"/>
    </row>
    <row r="29" spans="3:8" x14ac:dyDescent="0.2">
      <c r="C29" s="9"/>
      <c r="D29" s="16" t="s">
        <v>45</v>
      </c>
      <c r="E29" s="16" t="s">
        <v>46</v>
      </c>
      <c r="F29" s="16" t="s">
        <v>47</v>
      </c>
      <c r="G29" s="16" t="s">
        <v>48</v>
      </c>
      <c r="H29" s="16" t="s">
        <v>5</v>
      </c>
    </row>
    <row r="30" spans="3:8" x14ac:dyDescent="0.2">
      <c r="C30" s="2" t="s">
        <v>6</v>
      </c>
      <c r="D30" s="1">
        <v>2.0779999999999998</v>
      </c>
      <c r="E30" s="1" t="s">
        <v>120</v>
      </c>
      <c r="F30" s="1" t="s">
        <v>49</v>
      </c>
      <c r="G30" s="1" t="s">
        <v>9</v>
      </c>
      <c r="H30" s="1">
        <v>0.99029999999999996</v>
      </c>
    </row>
    <row r="31" spans="3:8" x14ac:dyDescent="0.2">
      <c r="C31" s="2" t="s">
        <v>7</v>
      </c>
      <c r="D31" s="1">
        <v>-8.266</v>
      </c>
      <c r="E31" s="1" t="s">
        <v>121</v>
      </c>
      <c r="F31" s="1" t="s">
        <v>49</v>
      </c>
      <c r="G31" s="1" t="s">
        <v>9</v>
      </c>
      <c r="H31" s="1">
        <v>0.68100000000000005</v>
      </c>
    </row>
    <row r="32" spans="3:8" x14ac:dyDescent="0.2">
      <c r="C32" s="2" t="s">
        <v>8</v>
      </c>
      <c r="D32" s="1">
        <v>3.5590000000000002</v>
      </c>
      <c r="E32" s="1" t="s">
        <v>122</v>
      </c>
      <c r="F32" s="1" t="s">
        <v>49</v>
      </c>
      <c r="G32" s="1" t="s">
        <v>9</v>
      </c>
      <c r="H32" s="1">
        <v>0.95569999999999999</v>
      </c>
    </row>
    <row r="36" spans="1:8" x14ac:dyDescent="0.2">
      <c r="A36" s="27" t="s">
        <v>126</v>
      </c>
    </row>
    <row r="37" spans="1:8" x14ac:dyDescent="0.2">
      <c r="C37" s="36"/>
      <c r="D37" s="12" t="s">
        <v>1</v>
      </c>
      <c r="E37" s="12" t="s">
        <v>2</v>
      </c>
      <c r="F37" s="12" t="s">
        <v>3</v>
      </c>
      <c r="G37" s="12" t="s">
        <v>4</v>
      </c>
    </row>
    <row r="38" spans="1:8" x14ac:dyDescent="0.2">
      <c r="C38" s="10" t="s">
        <v>32</v>
      </c>
      <c r="D38" s="39">
        <v>32.181032600000002</v>
      </c>
      <c r="E38" s="39">
        <v>11.485837399999999</v>
      </c>
      <c r="F38" s="39">
        <v>14.89</v>
      </c>
      <c r="G38" s="39">
        <v>9.3325718599999998</v>
      </c>
    </row>
    <row r="39" spans="1:8" x14ac:dyDescent="0.2">
      <c r="C39" s="10" t="s">
        <v>33</v>
      </c>
      <c r="D39" s="39">
        <v>25.26</v>
      </c>
      <c r="E39" s="39">
        <v>10.3153153</v>
      </c>
      <c r="F39" s="39">
        <v>16.14</v>
      </c>
      <c r="G39" s="39">
        <v>16.2498261</v>
      </c>
    </row>
    <row r="40" spans="1:8" x14ac:dyDescent="0.2">
      <c r="C40" s="10" t="s">
        <v>34</v>
      </c>
      <c r="D40" s="39">
        <v>20.774936100000001</v>
      </c>
      <c r="E40" s="39">
        <v>15.9</v>
      </c>
      <c r="F40" s="39">
        <v>13.46</v>
      </c>
      <c r="G40" s="39">
        <v>2.40445237</v>
      </c>
    </row>
    <row r="41" spans="1:8" x14ac:dyDescent="0.2">
      <c r="C41" s="38"/>
      <c r="D41" s="7"/>
      <c r="E41" s="7"/>
      <c r="F41" s="7"/>
      <c r="G41" s="7"/>
    </row>
    <row r="42" spans="1:8" x14ac:dyDescent="0.2">
      <c r="C42" s="17" t="s">
        <v>51</v>
      </c>
      <c r="D42" s="13">
        <f>AVERAGE(D38:D40)</f>
        <v>26.071989566666669</v>
      </c>
      <c r="E42" s="13">
        <f>AVERAGE(E38:E40)</f>
        <v>12.5670509</v>
      </c>
      <c r="F42" s="13">
        <f>AVERAGE(F38:F40)</f>
        <v>14.83</v>
      </c>
      <c r="G42" s="13">
        <f>AVERAGE(G38:G40)</f>
        <v>9.328950110000001</v>
      </c>
    </row>
    <row r="43" spans="1:8" x14ac:dyDescent="0.2">
      <c r="C43" s="17" t="s">
        <v>13</v>
      </c>
      <c r="D43" s="13">
        <f>STDEV(D38:D40)</f>
        <v>5.7462383029343531</v>
      </c>
      <c r="E43" s="13">
        <f>STDEV(E38:E40)</f>
        <v>2.9451558149001507</v>
      </c>
      <c r="F43" s="13">
        <f>STDEV(F38:F40)</f>
        <v>1.341007084246761</v>
      </c>
      <c r="G43" s="13">
        <f>STDEV(G38:G40)</f>
        <v>6.9226875755481165</v>
      </c>
    </row>
    <row r="44" spans="1:8" x14ac:dyDescent="0.2">
      <c r="C44" s="17" t="s">
        <v>14</v>
      </c>
      <c r="D44" s="13">
        <f>D43/SQRT(3)</f>
        <v>3.3175922310268873</v>
      </c>
      <c r="E44" s="13">
        <f t="shared" ref="E44" si="1">E43/SQRT(3)</f>
        <v>1.7003865025379936</v>
      </c>
      <c r="F44" s="13">
        <f>F43/SQRT(3)</f>
        <v>0.77423080107506259</v>
      </c>
      <c r="G44" s="13">
        <f>G43/SQRT(3)</f>
        <v>3.9968155352583832</v>
      </c>
    </row>
    <row r="47" spans="1:8" ht="18" x14ac:dyDescent="0.2">
      <c r="C47" s="19" t="s">
        <v>52</v>
      </c>
      <c r="D47" s="20"/>
      <c r="E47" s="20"/>
      <c r="F47" s="20"/>
      <c r="G47" s="20"/>
      <c r="H47" s="41"/>
    </row>
    <row r="48" spans="1:8" x14ac:dyDescent="0.2">
      <c r="C48" s="9"/>
      <c r="D48" s="9"/>
      <c r="E48" s="9"/>
      <c r="F48" s="9"/>
      <c r="G48" s="9"/>
    </row>
    <row r="49" spans="3:8" x14ac:dyDescent="0.2">
      <c r="C49" s="15" t="s">
        <v>53</v>
      </c>
      <c r="D49" s="9"/>
      <c r="E49" s="9"/>
      <c r="F49" s="9"/>
      <c r="G49" s="9"/>
    </row>
    <row r="50" spans="3:8" x14ac:dyDescent="0.2">
      <c r="C50" s="2" t="s">
        <v>0</v>
      </c>
      <c r="D50" s="9"/>
      <c r="E50" s="9"/>
      <c r="F50" s="1">
        <v>6.9459999999999997</v>
      </c>
      <c r="G50" s="9"/>
    </row>
    <row r="51" spans="3:8" x14ac:dyDescent="0.2">
      <c r="C51" s="2" t="s">
        <v>36</v>
      </c>
      <c r="D51" s="9"/>
      <c r="E51" s="9"/>
      <c r="F51" s="1">
        <v>1.29E-2</v>
      </c>
      <c r="G51" s="9"/>
    </row>
    <row r="52" spans="3:8" x14ac:dyDescent="0.2">
      <c r="C52" s="2" t="s">
        <v>37</v>
      </c>
      <c r="D52" s="9"/>
      <c r="E52" s="9"/>
      <c r="F52" s="46" t="s">
        <v>12</v>
      </c>
      <c r="G52" s="16"/>
    </row>
    <row r="53" spans="3:8" x14ac:dyDescent="0.2">
      <c r="C53" s="2" t="s">
        <v>54</v>
      </c>
      <c r="D53" s="9"/>
      <c r="E53" s="9"/>
      <c r="F53" s="46" t="s">
        <v>41</v>
      </c>
      <c r="G53" s="1"/>
    </row>
    <row r="54" spans="3:8" x14ac:dyDescent="0.2">
      <c r="C54" s="2" t="s">
        <v>55</v>
      </c>
      <c r="D54" s="9"/>
      <c r="E54" s="9"/>
      <c r="F54" s="1">
        <v>0.72260000000000002</v>
      </c>
      <c r="G54" s="1"/>
    </row>
    <row r="55" spans="3:8" x14ac:dyDescent="0.2">
      <c r="C55" s="9"/>
      <c r="D55" s="9"/>
      <c r="E55" s="9"/>
      <c r="F55" s="9"/>
      <c r="G55" s="9"/>
    </row>
    <row r="56" spans="3:8" x14ac:dyDescent="0.2">
      <c r="C56" s="15" t="s">
        <v>44</v>
      </c>
      <c r="D56" s="9"/>
      <c r="E56" s="2"/>
      <c r="F56" s="1"/>
      <c r="G56" s="1"/>
    </row>
    <row r="57" spans="3:8" x14ac:dyDescent="0.2">
      <c r="C57" s="9"/>
      <c r="D57" s="16" t="s">
        <v>45</v>
      </c>
      <c r="E57" s="16" t="s">
        <v>46</v>
      </c>
      <c r="F57" s="16" t="s">
        <v>47</v>
      </c>
      <c r="G57" s="16" t="s">
        <v>48</v>
      </c>
      <c r="H57" s="16" t="s">
        <v>5</v>
      </c>
    </row>
    <row r="58" spans="3:8" x14ac:dyDescent="0.2">
      <c r="C58" s="2" t="s">
        <v>6</v>
      </c>
      <c r="D58" s="1">
        <v>13.5</v>
      </c>
      <c r="E58" s="1" t="s">
        <v>123</v>
      </c>
      <c r="F58" s="1" t="s">
        <v>41</v>
      </c>
      <c r="G58" s="1" t="s">
        <v>12</v>
      </c>
      <c r="H58" s="1">
        <v>2.1399999999999999E-2</v>
      </c>
    </row>
    <row r="59" spans="3:8" x14ac:dyDescent="0.2">
      <c r="C59" s="2" t="s">
        <v>7</v>
      </c>
      <c r="D59" s="1">
        <v>11.24</v>
      </c>
      <c r="E59" s="1" t="s">
        <v>124</v>
      </c>
      <c r="F59" s="1" t="s">
        <v>41</v>
      </c>
      <c r="G59" s="1" t="s">
        <v>12</v>
      </c>
      <c r="H59" s="1">
        <v>0.05</v>
      </c>
    </row>
    <row r="60" spans="3:8" x14ac:dyDescent="0.2">
      <c r="C60" s="2" t="s">
        <v>8</v>
      </c>
      <c r="D60" s="1">
        <v>16.739999999999998</v>
      </c>
      <c r="E60" s="1" t="s">
        <v>125</v>
      </c>
      <c r="F60" s="1" t="s">
        <v>41</v>
      </c>
      <c r="G60" s="1" t="s">
        <v>11</v>
      </c>
      <c r="H60" s="1">
        <v>6.7999999999999996E-3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2:H178"/>
  <sheetViews>
    <sheetView workbookViewId="0">
      <selection activeCell="N36" sqref="N36"/>
    </sheetView>
  </sheetViews>
  <sheetFormatPr baseColWidth="10" defaultRowHeight="16" x14ac:dyDescent="0.2"/>
  <cols>
    <col min="3" max="3" width="17.33203125" customWidth="1"/>
    <col min="5" max="5" width="15.5" customWidth="1"/>
  </cols>
  <sheetData>
    <row r="2" spans="1:8" s="9" customFormat="1" ht="18" x14ac:dyDescent="0.2">
      <c r="A2" s="53" t="s">
        <v>1174</v>
      </c>
      <c r="B2" s="8"/>
      <c r="C2" s="8"/>
    </row>
    <row r="3" spans="1:8" s="9" customFormat="1" ht="18" x14ac:dyDescent="0.2">
      <c r="A3" s="80"/>
      <c r="B3" s="42"/>
      <c r="C3" s="42"/>
    </row>
    <row r="4" spans="1:8" s="9" customFormat="1" ht="18" x14ac:dyDescent="0.2">
      <c r="A4" s="53" t="s">
        <v>916</v>
      </c>
      <c r="B4" s="8"/>
      <c r="C4" s="8"/>
      <c r="D4" s="8"/>
    </row>
    <row r="6" spans="1:8" ht="18" x14ac:dyDescent="0.2">
      <c r="A6" s="14" t="s">
        <v>127</v>
      </c>
      <c r="B6" s="42"/>
      <c r="C6" s="42"/>
      <c r="D6" s="9"/>
      <c r="E6" s="9"/>
      <c r="F6" s="9"/>
      <c r="G6" s="9"/>
      <c r="H6" s="9"/>
    </row>
    <row r="7" spans="1:8" x14ac:dyDescent="0.2">
      <c r="A7" s="9"/>
      <c r="B7" s="9"/>
      <c r="C7" s="9"/>
      <c r="D7" s="9"/>
      <c r="E7" s="9"/>
      <c r="F7" s="9"/>
      <c r="G7" s="9"/>
      <c r="H7" s="9"/>
    </row>
    <row r="8" spans="1:8" x14ac:dyDescent="0.2">
      <c r="B8" s="9"/>
      <c r="C8" s="36"/>
      <c r="D8" s="12" t="s">
        <v>1</v>
      </c>
      <c r="E8" s="12" t="s">
        <v>2</v>
      </c>
      <c r="F8" s="12" t="s">
        <v>3</v>
      </c>
      <c r="G8" s="12" t="s">
        <v>4</v>
      </c>
      <c r="H8" s="37"/>
    </row>
    <row r="9" spans="1:8" x14ac:dyDescent="0.2">
      <c r="A9" s="27"/>
      <c r="B9" s="9"/>
      <c r="C9" s="10" t="s">
        <v>32</v>
      </c>
      <c r="D9" s="17">
        <v>1.0213697544315326</v>
      </c>
      <c r="E9" s="4">
        <v>1.1938043803892822</v>
      </c>
      <c r="F9" s="17">
        <v>1.0144380465464071</v>
      </c>
      <c r="G9" s="17">
        <v>1.023652517829696</v>
      </c>
      <c r="H9" s="7"/>
    </row>
    <row r="10" spans="1:8" x14ac:dyDescent="0.2">
      <c r="A10" s="9"/>
      <c r="B10" s="9"/>
      <c r="C10" s="10" t="s">
        <v>33</v>
      </c>
      <c r="D10" s="17">
        <v>0.88794463112381272</v>
      </c>
      <c r="E10" s="17">
        <v>0.93774658212565976</v>
      </c>
      <c r="F10" s="17">
        <v>0.9922062045683876</v>
      </c>
      <c r="G10" s="17">
        <v>1.2281432096645248</v>
      </c>
      <c r="H10" s="7"/>
    </row>
    <row r="11" spans="1:8" x14ac:dyDescent="0.2">
      <c r="A11" s="9"/>
      <c r="B11" s="9"/>
      <c r="C11" s="10" t="s">
        <v>34</v>
      </c>
      <c r="D11" s="17">
        <v>1.09068561444465</v>
      </c>
      <c r="E11" s="17">
        <v>0.74853023886897663</v>
      </c>
      <c r="F11" s="17"/>
      <c r="G11" s="17">
        <v>1.0286356582219567</v>
      </c>
      <c r="H11" s="7"/>
    </row>
    <row r="12" spans="1:8" x14ac:dyDescent="0.2">
      <c r="A12" s="9"/>
      <c r="B12" s="9"/>
      <c r="C12" s="38"/>
      <c r="D12" s="40"/>
      <c r="E12" s="40"/>
      <c r="F12" s="40"/>
      <c r="G12" s="40"/>
      <c r="H12" s="7"/>
    </row>
    <row r="13" spans="1:8" x14ac:dyDescent="0.2">
      <c r="A13" s="9"/>
      <c r="B13" s="9"/>
      <c r="C13" s="17" t="s">
        <v>51</v>
      </c>
      <c r="D13" s="43">
        <f>AVERAGE(D9:D11)</f>
        <v>0.99999999999999833</v>
      </c>
      <c r="E13" s="43">
        <f>AVERAGE(E9:E11)</f>
        <v>0.96002706712797281</v>
      </c>
      <c r="F13" s="43">
        <f>AVERAGE(F9:F11)</f>
        <v>1.0033221255573974</v>
      </c>
      <c r="G13" s="43">
        <f>AVERAGE(G9:G11)</f>
        <v>1.093477128572059</v>
      </c>
    </row>
    <row r="14" spans="1:8" x14ac:dyDescent="0.2">
      <c r="C14" s="17" t="s">
        <v>13</v>
      </c>
      <c r="D14" s="43">
        <f>STDEV(D9:D11)</f>
        <v>0.10304599159027515</v>
      </c>
      <c r="E14" s="43">
        <f>STDEV(E9:E11)</f>
        <v>0.22347165432245555</v>
      </c>
      <c r="F14" s="43">
        <f>STDEV(F9:F11)</f>
        <v>1.5720286220925354E-2</v>
      </c>
      <c r="G14" s="43">
        <f>STDEV(G9:G11)</f>
        <v>0.11665085927520701</v>
      </c>
    </row>
    <row r="15" spans="1:8" x14ac:dyDescent="0.2">
      <c r="C15" s="17" t="s">
        <v>14</v>
      </c>
      <c r="D15" s="43">
        <f>D14/SQRT(3)</f>
        <v>5.9493630983557276E-2</v>
      </c>
      <c r="E15" s="43">
        <f>E14/SQRT(3)</f>
        <v>0.12902141977932072</v>
      </c>
      <c r="F15" s="43">
        <f>F14/SQRT(2)</f>
        <v>1.1115920989009763E-2</v>
      </c>
      <c r="G15" s="43">
        <f>G14/SQRT(3)</f>
        <v>6.7348405003741924E-2</v>
      </c>
    </row>
    <row r="18" spans="3:8" ht="18" x14ac:dyDescent="0.2">
      <c r="C18" s="19" t="s">
        <v>52</v>
      </c>
      <c r="D18" s="20"/>
      <c r="E18" s="20"/>
      <c r="F18" s="20"/>
      <c r="G18" s="20"/>
      <c r="H18" s="20"/>
    </row>
    <row r="19" spans="3:8" x14ac:dyDescent="0.2">
      <c r="C19" s="9"/>
      <c r="D19" s="9"/>
      <c r="E19" s="9"/>
      <c r="F19" s="9"/>
      <c r="G19" s="9"/>
      <c r="H19" s="9"/>
    </row>
    <row r="20" spans="3:8" x14ac:dyDescent="0.2">
      <c r="C20" s="15" t="s">
        <v>53</v>
      </c>
      <c r="D20" s="9"/>
      <c r="E20" s="9"/>
      <c r="F20" s="9"/>
      <c r="G20" s="9"/>
      <c r="H20" s="9"/>
    </row>
    <row r="21" spans="3:8" x14ac:dyDescent="0.2">
      <c r="C21" s="2" t="s">
        <v>0</v>
      </c>
      <c r="D21" s="9"/>
      <c r="E21" s="9"/>
      <c r="F21" s="1">
        <v>0.44740000000000002</v>
      </c>
      <c r="G21" s="9"/>
      <c r="H21" s="9"/>
    </row>
    <row r="22" spans="3:8" x14ac:dyDescent="0.2">
      <c r="C22" s="2" t="s">
        <v>36</v>
      </c>
      <c r="D22" s="9"/>
      <c r="E22" s="9"/>
      <c r="F22" s="1">
        <v>0.73</v>
      </c>
      <c r="G22" s="9"/>
      <c r="H22" s="9"/>
    </row>
    <row r="23" spans="3:8" x14ac:dyDescent="0.2">
      <c r="C23" s="2" t="s">
        <v>37</v>
      </c>
      <c r="D23" s="9"/>
      <c r="E23" s="9"/>
      <c r="F23" s="46" t="s">
        <v>9</v>
      </c>
      <c r="G23" s="16"/>
      <c r="H23" s="9"/>
    </row>
    <row r="24" spans="3:8" x14ac:dyDescent="0.2">
      <c r="C24" s="2" t="s">
        <v>54</v>
      </c>
      <c r="D24" s="9"/>
      <c r="E24" s="9"/>
      <c r="F24" s="46" t="s">
        <v>49</v>
      </c>
      <c r="G24" s="1"/>
      <c r="H24" s="9"/>
    </row>
    <row r="25" spans="3:8" x14ac:dyDescent="0.2">
      <c r="C25" s="2" t="s">
        <v>55</v>
      </c>
      <c r="D25" s="9"/>
      <c r="E25" s="9"/>
      <c r="F25" s="1">
        <v>0.16089999999999999</v>
      </c>
      <c r="G25" s="1"/>
      <c r="H25" s="9"/>
    </row>
    <row r="26" spans="3:8" x14ac:dyDescent="0.2">
      <c r="C26" s="9"/>
      <c r="D26" s="9"/>
      <c r="E26" s="9"/>
      <c r="F26" s="9"/>
      <c r="G26" s="9"/>
      <c r="H26" s="9"/>
    </row>
    <row r="27" spans="3:8" x14ac:dyDescent="0.2">
      <c r="C27" s="15" t="s">
        <v>44</v>
      </c>
      <c r="D27" s="9"/>
      <c r="E27" s="2"/>
      <c r="F27" s="1"/>
      <c r="G27" s="1"/>
      <c r="H27" s="9"/>
    </row>
    <row r="28" spans="3:8" x14ac:dyDescent="0.2">
      <c r="C28" s="9"/>
      <c r="D28" s="16" t="s">
        <v>45</v>
      </c>
      <c r="E28" s="16" t="s">
        <v>46</v>
      </c>
      <c r="F28" s="16" t="s">
        <v>47</v>
      </c>
      <c r="G28" s="16" t="s">
        <v>48</v>
      </c>
      <c r="H28" s="16" t="s">
        <v>5</v>
      </c>
    </row>
    <row r="29" spans="3:8" x14ac:dyDescent="0.2">
      <c r="C29" s="2" t="s">
        <v>6</v>
      </c>
      <c r="D29" s="1">
        <v>3.9969999999999999E-2</v>
      </c>
      <c r="E29" s="1" t="s">
        <v>128</v>
      </c>
      <c r="F29" s="1" t="s">
        <v>49</v>
      </c>
      <c r="G29" s="1" t="s">
        <v>9</v>
      </c>
      <c r="H29" s="1">
        <v>0.97</v>
      </c>
    </row>
    <row r="30" spans="3:8" x14ac:dyDescent="0.2">
      <c r="C30" s="2" t="s">
        <v>7</v>
      </c>
      <c r="D30" s="1">
        <v>-3.3219999999999999E-3</v>
      </c>
      <c r="E30" s="1" t="s">
        <v>129</v>
      </c>
      <c r="F30" s="1" t="s">
        <v>49</v>
      </c>
      <c r="G30" s="1" t="s">
        <v>9</v>
      </c>
      <c r="H30" s="46" t="s">
        <v>50</v>
      </c>
    </row>
    <row r="31" spans="3:8" x14ac:dyDescent="0.2">
      <c r="C31" s="2" t="s">
        <v>8</v>
      </c>
      <c r="D31" s="1">
        <v>-9.3479999999999994E-2</v>
      </c>
      <c r="E31" s="1" t="s">
        <v>130</v>
      </c>
      <c r="F31" s="1" t="s">
        <v>49</v>
      </c>
      <c r="G31" s="1" t="s">
        <v>9</v>
      </c>
      <c r="H31" s="1">
        <v>0.78</v>
      </c>
    </row>
    <row r="35" spans="1:8" ht="18" x14ac:dyDescent="0.2">
      <c r="A35" s="14" t="s">
        <v>29</v>
      </c>
    </row>
    <row r="37" spans="1:8" x14ac:dyDescent="0.2">
      <c r="C37" s="36"/>
      <c r="D37" s="12" t="s">
        <v>1</v>
      </c>
      <c r="E37" s="12" t="s">
        <v>2</v>
      </c>
      <c r="F37" s="12" t="s">
        <v>3</v>
      </c>
      <c r="G37" s="12" t="s">
        <v>4</v>
      </c>
      <c r="H37" s="37"/>
    </row>
    <row r="38" spans="1:8" x14ac:dyDescent="0.2">
      <c r="C38" s="10" t="s">
        <v>32</v>
      </c>
      <c r="D38" s="4">
        <v>1.0076012299999999</v>
      </c>
      <c r="E38" s="4">
        <v>1.2661012300000001</v>
      </c>
      <c r="F38" s="4">
        <v>0.63928302000000004</v>
      </c>
      <c r="G38" s="4">
        <v>0.63944531999999998</v>
      </c>
      <c r="H38" s="7"/>
    </row>
    <row r="39" spans="1:8" x14ac:dyDescent="0.2">
      <c r="C39" s="10" t="s">
        <v>33</v>
      </c>
      <c r="D39" s="4">
        <v>0.75787223000000004</v>
      </c>
      <c r="E39" s="4">
        <v>1.22479458</v>
      </c>
      <c r="F39" s="4">
        <v>1.3257257499999999</v>
      </c>
      <c r="G39" s="4">
        <v>1.01751657</v>
      </c>
      <c r="H39" s="7"/>
    </row>
    <row r="40" spans="1:8" x14ac:dyDescent="0.2">
      <c r="C40" s="10" t="s">
        <v>34</v>
      </c>
      <c r="D40" s="4">
        <v>1.2345265400000001</v>
      </c>
      <c r="E40" s="4">
        <v>0.73530799000000002</v>
      </c>
      <c r="F40" s="4"/>
      <c r="G40" s="4">
        <v>0.47214094000000001</v>
      </c>
      <c r="H40" s="7"/>
    </row>
    <row r="41" spans="1:8" x14ac:dyDescent="0.2">
      <c r="C41" s="38"/>
      <c r="D41" s="40"/>
      <c r="E41" s="40"/>
      <c r="F41" s="40"/>
      <c r="G41" s="40"/>
      <c r="H41" s="7"/>
    </row>
    <row r="42" spans="1:8" x14ac:dyDescent="0.2">
      <c r="C42" s="17" t="s">
        <v>51</v>
      </c>
      <c r="D42" s="43">
        <f>AVERAGE(D38:D40)</f>
        <v>1</v>
      </c>
      <c r="E42" s="43">
        <f>AVERAGE(E38:E40)</f>
        <v>1.0754012666666666</v>
      </c>
      <c r="F42" s="43">
        <f>AVERAGE(F38:F40)</f>
        <v>0.98250438499999992</v>
      </c>
      <c r="G42" s="43">
        <f>AVERAGE(G38:G40)</f>
        <v>0.70970094333333333</v>
      </c>
    </row>
    <row r="43" spans="1:8" x14ac:dyDescent="0.2">
      <c r="C43" s="17" t="s">
        <v>13</v>
      </c>
      <c r="D43" s="43">
        <f>STDEV(D38:D40)</f>
        <v>0.23841805056146387</v>
      </c>
      <c r="E43" s="43">
        <f>STDEV(E38:E40)</f>
        <v>0.29525266714960946</v>
      </c>
      <c r="F43" s="43">
        <f>STDEV(F38:F40)</f>
        <v>0.48538830927920634</v>
      </c>
      <c r="G43" s="43">
        <f>STDEV(G38:G40)</f>
        <v>0.27939315293496486</v>
      </c>
    </row>
    <row r="44" spans="1:8" x14ac:dyDescent="0.2">
      <c r="C44" s="17" t="s">
        <v>14</v>
      </c>
      <c r="D44" s="43">
        <f>D43/SQRT(3)</f>
        <v>0.13765072567132697</v>
      </c>
      <c r="E44" s="43">
        <f>E43/SQRT(3)</f>
        <v>0.17046420685778202</v>
      </c>
      <c r="F44" s="43">
        <f>F43/SQRT(2)</f>
        <v>0.343221365</v>
      </c>
      <c r="G44" s="43">
        <f>G43/SQRT(3)</f>
        <v>0.16130771205674024</v>
      </c>
    </row>
    <row r="47" spans="1:8" ht="18" x14ac:dyDescent="0.2">
      <c r="C47" s="19" t="s">
        <v>52</v>
      </c>
      <c r="D47" s="20"/>
      <c r="E47" s="20"/>
      <c r="F47" s="20"/>
      <c r="G47" s="20"/>
      <c r="H47" s="20"/>
    </row>
    <row r="48" spans="1:8" x14ac:dyDescent="0.2">
      <c r="C48" s="9"/>
      <c r="D48" s="9"/>
      <c r="E48" s="9"/>
      <c r="F48" s="9"/>
      <c r="G48" s="9"/>
      <c r="H48" s="9"/>
    </row>
    <row r="49" spans="1:8" x14ac:dyDescent="0.2">
      <c r="C49" s="15" t="s">
        <v>53</v>
      </c>
      <c r="D49" s="9"/>
      <c r="E49" s="9"/>
      <c r="F49" s="9"/>
      <c r="G49" s="9"/>
      <c r="H49" s="9"/>
    </row>
    <row r="50" spans="1:8" x14ac:dyDescent="0.2">
      <c r="C50" s="2" t="s">
        <v>0</v>
      </c>
      <c r="D50" s="9"/>
      <c r="E50" s="9"/>
      <c r="F50" s="1">
        <v>0.7843</v>
      </c>
      <c r="G50" s="9"/>
      <c r="H50" s="9"/>
    </row>
    <row r="51" spans="1:8" x14ac:dyDescent="0.2">
      <c r="C51" s="2" t="s">
        <v>36</v>
      </c>
      <c r="D51" s="9"/>
      <c r="E51" s="9"/>
      <c r="F51" s="1">
        <v>0.54</v>
      </c>
      <c r="G51" s="9"/>
      <c r="H51" s="9"/>
    </row>
    <row r="52" spans="1:8" x14ac:dyDescent="0.2">
      <c r="C52" s="2" t="s">
        <v>37</v>
      </c>
      <c r="D52" s="9"/>
      <c r="E52" s="9"/>
      <c r="F52" s="46" t="s">
        <v>9</v>
      </c>
      <c r="G52" s="16"/>
      <c r="H52" s="9"/>
    </row>
    <row r="53" spans="1:8" x14ac:dyDescent="0.2">
      <c r="C53" s="2" t="s">
        <v>54</v>
      </c>
      <c r="D53" s="9"/>
      <c r="E53" s="9"/>
      <c r="F53" s="46" t="s">
        <v>49</v>
      </c>
      <c r="G53" s="1"/>
      <c r="H53" s="9"/>
    </row>
    <row r="54" spans="1:8" x14ac:dyDescent="0.2">
      <c r="C54" s="2" t="s">
        <v>55</v>
      </c>
      <c r="D54" s="9"/>
      <c r="E54" s="9"/>
      <c r="F54" s="1">
        <v>0.25159999999999999</v>
      </c>
      <c r="G54" s="1"/>
      <c r="H54" s="9"/>
    </row>
    <row r="55" spans="1:8" x14ac:dyDescent="0.2">
      <c r="C55" s="9"/>
      <c r="D55" s="9"/>
      <c r="E55" s="9"/>
      <c r="F55" s="9"/>
      <c r="G55" s="9"/>
      <c r="H55" s="9"/>
    </row>
    <row r="56" spans="1:8" x14ac:dyDescent="0.2">
      <c r="C56" s="15" t="s">
        <v>44</v>
      </c>
      <c r="D56" s="9"/>
      <c r="E56" s="2"/>
      <c r="F56" s="1"/>
      <c r="G56" s="1"/>
      <c r="H56" s="9"/>
    </row>
    <row r="57" spans="1:8" x14ac:dyDescent="0.2">
      <c r="C57" s="9"/>
      <c r="D57" s="16" t="s">
        <v>45</v>
      </c>
      <c r="E57" s="16" t="s">
        <v>46</v>
      </c>
      <c r="F57" s="16" t="s">
        <v>47</v>
      </c>
      <c r="G57" s="16" t="s">
        <v>48</v>
      </c>
      <c r="H57" s="16" t="s">
        <v>5</v>
      </c>
    </row>
    <row r="58" spans="1:8" x14ac:dyDescent="0.2">
      <c r="C58" s="2" t="s">
        <v>6</v>
      </c>
      <c r="D58" s="1">
        <v>-7.5399999999999995E-2</v>
      </c>
      <c r="E58" s="1" t="s">
        <v>131</v>
      </c>
      <c r="F58" s="1" t="s">
        <v>49</v>
      </c>
      <c r="G58" s="1" t="s">
        <v>9</v>
      </c>
      <c r="H58" s="1">
        <v>0.98</v>
      </c>
    </row>
    <row r="59" spans="1:8" x14ac:dyDescent="0.2">
      <c r="C59" s="2" t="s">
        <v>7</v>
      </c>
      <c r="D59" s="1">
        <v>1.7500000000000002E-2</v>
      </c>
      <c r="E59" s="1" t="s">
        <v>132</v>
      </c>
      <c r="F59" s="1" t="s">
        <v>49</v>
      </c>
      <c r="G59" s="1" t="s">
        <v>9</v>
      </c>
      <c r="H59" s="46" t="s">
        <v>50</v>
      </c>
    </row>
    <row r="60" spans="1:8" x14ac:dyDescent="0.2">
      <c r="C60" s="2" t="s">
        <v>8</v>
      </c>
      <c r="D60" s="1">
        <v>0.2903</v>
      </c>
      <c r="E60" s="1" t="s">
        <v>133</v>
      </c>
      <c r="F60" s="1" t="s">
        <v>49</v>
      </c>
      <c r="G60" s="1" t="s">
        <v>9</v>
      </c>
      <c r="H60" s="1">
        <v>0.56999999999999995</v>
      </c>
    </row>
    <row r="64" spans="1:8" ht="18" x14ac:dyDescent="0.2">
      <c r="A64" s="14" t="s">
        <v>25</v>
      </c>
    </row>
    <row r="66" spans="3:8" x14ac:dyDescent="0.2">
      <c r="C66" s="36"/>
      <c r="D66" s="12" t="s">
        <v>1</v>
      </c>
      <c r="E66" s="12" t="s">
        <v>2</v>
      </c>
      <c r="F66" s="12" t="s">
        <v>3</v>
      </c>
      <c r="G66" s="12" t="s">
        <v>4</v>
      </c>
      <c r="H66" s="37"/>
    </row>
    <row r="67" spans="3:8" x14ac:dyDescent="0.2">
      <c r="C67" s="10" t="s">
        <v>32</v>
      </c>
      <c r="D67" s="4">
        <v>1.0843302399999999</v>
      </c>
      <c r="E67" s="4">
        <v>1.1095742399999999</v>
      </c>
      <c r="F67" s="4">
        <v>0.72203720000000005</v>
      </c>
      <c r="G67" s="4">
        <v>0.55035951000000005</v>
      </c>
      <c r="H67" s="7"/>
    </row>
    <row r="68" spans="3:8" x14ac:dyDescent="0.2">
      <c r="C68" s="10" t="s">
        <v>33</v>
      </c>
      <c r="D68" s="4">
        <v>0.86752649000000004</v>
      </c>
      <c r="E68" s="4">
        <v>0.97156052000000004</v>
      </c>
      <c r="F68" s="4">
        <v>1.1583148000000001</v>
      </c>
      <c r="G68" s="4">
        <v>0.77901480999999995</v>
      </c>
      <c r="H68" s="7"/>
    </row>
    <row r="69" spans="3:8" x14ac:dyDescent="0.2">
      <c r="C69" s="10" t="s">
        <v>34</v>
      </c>
      <c r="D69" s="4">
        <v>1.04814327</v>
      </c>
      <c r="E69" s="4">
        <v>0.87636371000000002</v>
      </c>
      <c r="F69" s="4"/>
      <c r="G69" s="4">
        <v>1.14739317</v>
      </c>
      <c r="H69" s="7"/>
    </row>
    <row r="70" spans="3:8" x14ac:dyDescent="0.2">
      <c r="C70" s="38"/>
      <c r="D70" s="40"/>
      <c r="E70" s="40"/>
      <c r="F70" s="40"/>
      <c r="G70" s="40"/>
      <c r="H70" s="7"/>
    </row>
    <row r="71" spans="3:8" x14ac:dyDescent="0.2">
      <c r="C71" s="17" t="s">
        <v>51</v>
      </c>
      <c r="D71" s="43">
        <f>AVERAGE(D67:D69)</f>
        <v>1</v>
      </c>
      <c r="E71" s="43">
        <f>AVERAGE(E67:E69)</f>
        <v>0.98583282333333333</v>
      </c>
      <c r="F71" s="43">
        <f>AVERAGE(F67:F69)</f>
        <v>0.94017600000000012</v>
      </c>
      <c r="G71" s="43">
        <f>AVERAGE(G67:G69)</f>
        <v>0.82558916333333332</v>
      </c>
    </row>
    <row r="72" spans="3:8" x14ac:dyDescent="0.2">
      <c r="C72" s="17" t="s">
        <v>13</v>
      </c>
      <c r="D72" s="43">
        <f>STDEV(D67:D69)</f>
        <v>0.11614343433115487</v>
      </c>
      <c r="E72" s="43">
        <f>STDEV(E67:E69)</f>
        <v>0.11725852552181108</v>
      </c>
      <c r="F72" s="43">
        <f>STDEV(F67:F69)</f>
        <v>0.30849484943979211</v>
      </c>
      <c r="G72" s="43">
        <f>STDEV(G67:G69)</f>
        <v>0.30122944010266089</v>
      </c>
    </row>
    <row r="73" spans="3:8" x14ac:dyDescent="0.2">
      <c r="C73" s="17" t="s">
        <v>14</v>
      </c>
      <c r="D73" s="43">
        <f>D72/SQRT(3)</f>
        <v>6.7055443075699897E-2</v>
      </c>
      <c r="E73" s="43">
        <f>E72/SQRT(3)</f>
        <v>6.7699241274796235E-2</v>
      </c>
      <c r="F73" s="43">
        <f>F72/SQRT(2)</f>
        <v>0.21813879999999999</v>
      </c>
      <c r="G73" s="43">
        <f>G72/SQRT(3)</f>
        <v>0.17391489833111154</v>
      </c>
    </row>
    <row r="76" spans="3:8" ht="18" x14ac:dyDescent="0.2">
      <c r="C76" s="19" t="s">
        <v>52</v>
      </c>
      <c r="D76" s="20"/>
      <c r="E76" s="20"/>
      <c r="F76" s="20"/>
      <c r="G76" s="20"/>
      <c r="H76" s="20"/>
    </row>
    <row r="77" spans="3:8" x14ac:dyDescent="0.2">
      <c r="C77" s="9"/>
      <c r="D77" s="9"/>
      <c r="E77" s="9"/>
      <c r="F77" s="9"/>
      <c r="G77" s="9"/>
      <c r="H77" s="9"/>
    </row>
    <row r="78" spans="3:8" x14ac:dyDescent="0.2">
      <c r="C78" s="15" t="s">
        <v>53</v>
      </c>
      <c r="D78" s="9"/>
      <c r="E78" s="9"/>
      <c r="F78" s="9"/>
      <c r="G78" s="9"/>
      <c r="H78" s="9"/>
    </row>
    <row r="79" spans="3:8" x14ac:dyDescent="0.2">
      <c r="C79" s="2" t="s">
        <v>0</v>
      </c>
      <c r="D79" s="9"/>
      <c r="E79" s="9"/>
      <c r="F79" s="1">
        <v>0.39679999999999999</v>
      </c>
      <c r="G79" s="9"/>
      <c r="H79" s="9"/>
    </row>
    <row r="80" spans="3:8" x14ac:dyDescent="0.2">
      <c r="C80" s="2" t="s">
        <v>36</v>
      </c>
      <c r="D80" s="9"/>
      <c r="E80" s="9"/>
      <c r="F80" s="1">
        <v>0.76</v>
      </c>
      <c r="G80" s="9"/>
      <c r="H80" s="9"/>
    </row>
    <row r="81" spans="1:8" x14ac:dyDescent="0.2">
      <c r="C81" s="2" t="s">
        <v>37</v>
      </c>
      <c r="D81" s="9"/>
      <c r="E81" s="9"/>
      <c r="F81" s="46" t="s">
        <v>9</v>
      </c>
      <c r="G81" s="16"/>
      <c r="H81" s="9"/>
    </row>
    <row r="82" spans="1:8" x14ac:dyDescent="0.2">
      <c r="C82" s="2" t="s">
        <v>54</v>
      </c>
      <c r="D82" s="9"/>
      <c r="E82" s="9"/>
      <c r="F82" s="46" t="s">
        <v>49</v>
      </c>
      <c r="G82" s="1"/>
      <c r="H82" s="9"/>
    </row>
    <row r="83" spans="1:8" x14ac:dyDescent="0.2">
      <c r="C83" s="2" t="s">
        <v>55</v>
      </c>
      <c r="D83" s="9"/>
      <c r="E83" s="9"/>
      <c r="F83" s="1">
        <v>0.14530000000000001</v>
      </c>
      <c r="G83" s="1"/>
      <c r="H83" s="9"/>
    </row>
    <row r="84" spans="1:8" x14ac:dyDescent="0.2">
      <c r="C84" s="9"/>
      <c r="D84" s="9"/>
      <c r="E84" s="9"/>
      <c r="F84" s="9"/>
      <c r="G84" s="9"/>
      <c r="H84" s="9"/>
    </row>
    <row r="85" spans="1:8" x14ac:dyDescent="0.2">
      <c r="C85" s="15" t="s">
        <v>44</v>
      </c>
      <c r="D85" s="9"/>
      <c r="E85" s="2"/>
      <c r="F85" s="1"/>
      <c r="G85" s="1"/>
      <c r="H85" s="9"/>
    </row>
    <row r="86" spans="1:8" x14ac:dyDescent="0.2">
      <c r="C86" s="9"/>
      <c r="D86" s="16" t="s">
        <v>45</v>
      </c>
      <c r="E86" s="16" t="s">
        <v>46</v>
      </c>
      <c r="F86" s="16" t="s">
        <v>47</v>
      </c>
      <c r="G86" s="16" t="s">
        <v>48</v>
      </c>
      <c r="H86" s="16" t="s">
        <v>5</v>
      </c>
    </row>
    <row r="87" spans="1:8" x14ac:dyDescent="0.2">
      <c r="C87" s="2" t="s">
        <v>6</v>
      </c>
      <c r="D87" s="1">
        <v>1.417E-2</v>
      </c>
      <c r="E87" s="1" t="s">
        <v>134</v>
      </c>
      <c r="F87" s="1" t="s">
        <v>49</v>
      </c>
      <c r="G87" s="1" t="s">
        <v>9</v>
      </c>
      <c r="H87" s="46" t="s">
        <v>50</v>
      </c>
    </row>
    <row r="88" spans="1:8" x14ac:dyDescent="0.2">
      <c r="C88" s="2" t="s">
        <v>7</v>
      </c>
      <c r="D88" s="1">
        <v>5.9819999999999998E-2</v>
      </c>
      <c r="E88" s="1" t="s">
        <v>135</v>
      </c>
      <c r="F88" s="1" t="s">
        <v>49</v>
      </c>
      <c r="G88" s="1" t="s">
        <v>9</v>
      </c>
      <c r="H88" s="1">
        <v>0.98</v>
      </c>
    </row>
    <row r="89" spans="1:8" x14ac:dyDescent="0.2">
      <c r="C89" s="2" t="s">
        <v>8</v>
      </c>
      <c r="D89" s="1">
        <v>0.1744</v>
      </c>
      <c r="E89" s="1" t="s">
        <v>136</v>
      </c>
      <c r="F89" s="1" t="s">
        <v>49</v>
      </c>
      <c r="G89" s="1" t="s">
        <v>9</v>
      </c>
      <c r="H89" s="1">
        <v>0.66</v>
      </c>
    </row>
    <row r="93" spans="1:8" ht="18" x14ac:dyDescent="0.2">
      <c r="A93" s="14" t="s">
        <v>28</v>
      </c>
    </row>
    <row r="95" spans="1:8" x14ac:dyDescent="0.2">
      <c r="C95" s="36"/>
      <c r="D95" s="12" t="s">
        <v>1</v>
      </c>
      <c r="E95" s="12" t="s">
        <v>2</v>
      </c>
      <c r="F95" s="12" t="s">
        <v>3</v>
      </c>
      <c r="G95" s="12" t="s">
        <v>4</v>
      </c>
      <c r="H95" s="37"/>
    </row>
    <row r="96" spans="1:8" x14ac:dyDescent="0.2">
      <c r="C96" s="10" t="s">
        <v>32</v>
      </c>
      <c r="D96" s="4">
        <v>0.93045409999999995</v>
      </c>
      <c r="E96" s="4">
        <v>1.2339067100000001</v>
      </c>
      <c r="F96" s="4">
        <v>0.81621030999999999</v>
      </c>
      <c r="G96" s="4">
        <v>0.88764582000000003</v>
      </c>
      <c r="H96" s="7"/>
    </row>
    <row r="97" spans="3:8" x14ac:dyDescent="0.2">
      <c r="C97" s="10" t="s">
        <v>33</v>
      </c>
      <c r="D97" s="4">
        <v>0.76152829</v>
      </c>
      <c r="E97" s="4">
        <v>1.1037324900000001</v>
      </c>
      <c r="F97" s="4">
        <v>0.97158716000000001</v>
      </c>
      <c r="G97" s="4">
        <v>1.10536656</v>
      </c>
      <c r="H97" s="7"/>
    </row>
    <row r="98" spans="3:8" x14ac:dyDescent="0.2">
      <c r="C98" s="10" t="s">
        <v>34</v>
      </c>
      <c r="D98" s="4">
        <v>1.3080176100000001</v>
      </c>
      <c r="E98" s="4">
        <v>0.58719195000000002</v>
      </c>
      <c r="F98" s="4"/>
      <c r="G98" s="4">
        <v>0.70589652999999997</v>
      </c>
      <c r="H98" s="7"/>
    </row>
    <row r="99" spans="3:8" x14ac:dyDescent="0.2">
      <c r="C99" s="38"/>
      <c r="D99" s="40"/>
      <c r="E99" s="40"/>
      <c r="F99" s="40"/>
      <c r="G99" s="40"/>
      <c r="H99" s="7"/>
    </row>
    <row r="100" spans="3:8" x14ac:dyDescent="0.2">
      <c r="C100" s="17" t="s">
        <v>51</v>
      </c>
      <c r="D100" s="43">
        <f>AVERAGE(D96:D98)</f>
        <v>1</v>
      </c>
      <c r="E100" s="43">
        <f>AVERAGE(E96:E98)</f>
        <v>0.97494371666666668</v>
      </c>
      <c r="F100" s="43">
        <f>AVERAGE(F96:F98)</f>
        <v>0.89389873500000006</v>
      </c>
      <c r="G100" s="43">
        <f>AVERAGE(G96:G98)</f>
        <v>0.89963630333333333</v>
      </c>
    </row>
    <row r="101" spans="3:8" x14ac:dyDescent="0.2">
      <c r="C101" s="17" t="s">
        <v>13</v>
      </c>
      <c r="D101" s="43">
        <f>STDEV(D96:D98)</f>
        <v>0.27980371400970161</v>
      </c>
      <c r="E101" s="43">
        <f>STDEV(E96:E98)</f>
        <v>0.34205249056686193</v>
      </c>
      <c r="F101" s="43">
        <f>STDEV(F96:F98)</f>
        <v>0.10986802427440502</v>
      </c>
      <c r="G101" s="43">
        <f>STDEV(G96:G98)</f>
        <v>0.20000476240573711</v>
      </c>
    </row>
    <row r="102" spans="3:8" x14ac:dyDescent="0.2">
      <c r="C102" s="17" t="s">
        <v>14</v>
      </c>
      <c r="D102" s="43">
        <f>D101/SQRT(3)</f>
        <v>0.16154474960375831</v>
      </c>
      <c r="E102" s="43">
        <f>E101/SQRT(3)</f>
        <v>0.19748409750575968</v>
      </c>
      <c r="F102" s="43">
        <f>F101/SQRT(2)</f>
        <v>7.7688424999999992E-2</v>
      </c>
      <c r="G102" s="43">
        <f>G101/SQRT(3)</f>
        <v>0.11547280341415947</v>
      </c>
    </row>
    <row r="105" spans="3:8" ht="18" x14ac:dyDescent="0.2">
      <c r="C105" s="19" t="s">
        <v>52</v>
      </c>
      <c r="D105" s="20"/>
      <c r="E105" s="20"/>
      <c r="F105" s="20"/>
      <c r="G105" s="20"/>
      <c r="H105" s="20"/>
    </row>
    <row r="106" spans="3:8" x14ac:dyDescent="0.2">
      <c r="C106" s="9"/>
      <c r="D106" s="9"/>
      <c r="E106" s="9"/>
      <c r="F106" s="9"/>
      <c r="G106" s="9"/>
      <c r="H106" s="9"/>
    </row>
    <row r="107" spans="3:8" x14ac:dyDescent="0.2">
      <c r="C107" s="15" t="s">
        <v>53</v>
      </c>
      <c r="D107" s="9"/>
      <c r="E107" s="9"/>
      <c r="F107" s="9"/>
      <c r="G107" s="9"/>
      <c r="H107" s="9"/>
    </row>
    <row r="108" spans="3:8" x14ac:dyDescent="0.2">
      <c r="C108" s="2" t="s">
        <v>0</v>
      </c>
      <c r="D108" s="9"/>
      <c r="E108" s="9"/>
      <c r="F108" s="1">
        <v>0.1118</v>
      </c>
      <c r="G108" s="9"/>
      <c r="H108" s="9"/>
    </row>
    <row r="109" spans="3:8" x14ac:dyDescent="0.2">
      <c r="C109" s="2" t="s">
        <v>36</v>
      </c>
      <c r="D109" s="9"/>
      <c r="E109" s="9"/>
      <c r="F109" s="1">
        <v>0.95</v>
      </c>
      <c r="G109" s="9"/>
      <c r="H109" s="9"/>
    </row>
    <row r="110" spans="3:8" x14ac:dyDescent="0.2">
      <c r="C110" s="2" t="s">
        <v>37</v>
      </c>
      <c r="D110" s="9"/>
      <c r="E110" s="9"/>
      <c r="F110" s="46" t="s">
        <v>9</v>
      </c>
      <c r="G110" s="16"/>
      <c r="H110" s="9"/>
    </row>
    <row r="111" spans="3:8" x14ac:dyDescent="0.2">
      <c r="C111" s="2" t="s">
        <v>54</v>
      </c>
      <c r="D111" s="9"/>
      <c r="E111" s="9"/>
      <c r="F111" s="46" t="s">
        <v>49</v>
      </c>
      <c r="G111" s="1"/>
      <c r="H111" s="9"/>
    </row>
    <row r="112" spans="3:8" x14ac:dyDescent="0.2">
      <c r="C112" s="2" t="s">
        <v>55</v>
      </c>
      <c r="D112" s="9"/>
      <c r="E112" s="9"/>
      <c r="F112" s="1">
        <v>4.5740000000000003E-2</v>
      </c>
      <c r="G112" s="1"/>
      <c r="H112" s="9"/>
    </row>
    <row r="113" spans="1:8" x14ac:dyDescent="0.2">
      <c r="C113" s="9"/>
      <c r="D113" s="9"/>
      <c r="E113" s="9"/>
      <c r="F113" s="9"/>
      <c r="G113" s="9"/>
      <c r="H113" s="9"/>
    </row>
    <row r="114" spans="1:8" x14ac:dyDescent="0.2">
      <c r="C114" s="15" t="s">
        <v>44</v>
      </c>
      <c r="D114" s="9"/>
      <c r="E114" s="2"/>
      <c r="F114" s="1"/>
      <c r="G114" s="1"/>
      <c r="H114" s="9"/>
    </row>
    <row r="115" spans="1:8" x14ac:dyDescent="0.2">
      <c r="C115" s="9"/>
      <c r="D115" s="16" t="s">
        <v>45</v>
      </c>
      <c r="E115" s="16" t="s">
        <v>46</v>
      </c>
      <c r="F115" s="16" t="s">
        <v>47</v>
      </c>
      <c r="G115" s="16" t="s">
        <v>48</v>
      </c>
      <c r="H115" s="16" t="s">
        <v>5</v>
      </c>
    </row>
    <row r="116" spans="1:8" x14ac:dyDescent="0.2">
      <c r="C116" s="2" t="s">
        <v>6</v>
      </c>
      <c r="D116" s="1">
        <v>2.5059999999999999E-2</v>
      </c>
      <c r="E116" s="1" t="s">
        <v>137</v>
      </c>
      <c r="F116" s="1" t="s">
        <v>49</v>
      </c>
      <c r="G116" s="1" t="s">
        <v>9</v>
      </c>
      <c r="H116" s="46" t="s">
        <v>50</v>
      </c>
    </row>
    <row r="117" spans="1:8" x14ac:dyDescent="0.2">
      <c r="C117" s="2" t="s">
        <v>7</v>
      </c>
      <c r="D117" s="1">
        <v>0.1061</v>
      </c>
      <c r="E117" s="1" t="s">
        <v>138</v>
      </c>
      <c r="F117" s="1" t="s">
        <v>49</v>
      </c>
      <c r="G117" s="1" t="s">
        <v>9</v>
      </c>
      <c r="H117" s="1">
        <v>0.95</v>
      </c>
    </row>
    <row r="118" spans="1:8" x14ac:dyDescent="0.2">
      <c r="C118" s="2" t="s">
        <v>8</v>
      </c>
      <c r="D118" s="1">
        <v>0.1004</v>
      </c>
      <c r="E118" s="1" t="s">
        <v>139</v>
      </c>
      <c r="F118" s="1" t="s">
        <v>49</v>
      </c>
      <c r="G118" s="1" t="s">
        <v>9</v>
      </c>
      <c r="H118" s="1">
        <v>0.94</v>
      </c>
    </row>
    <row r="122" spans="1:8" ht="18" x14ac:dyDescent="0.2">
      <c r="A122" s="14" t="s">
        <v>27</v>
      </c>
    </row>
    <row r="124" spans="1:8" x14ac:dyDescent="0.2">
      <c r="C124" s="36"/>
      <c r="D124" s="12" t="s">
        <v>1</v>
      </c>
      <c r="E124" s="12" t="s">
        <v>2</v>
      </c>
      <c r="F124" s="12" t="s">
        <v>3</v>
      </c>
      <c r="G124" s="12" t="s">
        <v>4</v>
      </c>
      <c r="H124" s="37"/>
    </row>
    <row r="125" spans="1:8" x14ac:dyDescent="0.2">
      <c r="C125" s="10" t="s">
        <v>32</v>
      </c>
      <c r="D125" s="4">
        <v>1.01591374</v>
      </c>
      <c r="E125" s="4">
        <v>0.89960375000000004</v>
      </c>
      <c r="F125" s="4">
        <v>0.74833687000000004</v>
      </c>
      <c r="G125" s="4">
        <v>0.68214313000000004</v>
      </c>
      <c r="H125" s="7"/>
    </row>
    <row r="126" spans="1:8" x14ac:dyDescent="0.2">
      <c r="C126" s="10" t="s">
        <v>33</v>
      </c>
      <c r="D126" s="4">
        <v>0.98599144999999999</v>
      </c>
      <c r="E126" s="4">
        <v>0.67912773000000004</v>
      </c>
      <c r="F126" s="4">
        <v>0.77358839999999995</v>
      </c>
      <c r="G126" s="4">
        <v>0.81050675000000005</v>
      </c>
      <c r="H126" s="7"/>
    </row>
    <row r="127" spans="1:8" x14ac:dyDescent="0.2">
      <c r="C127" s="10" t="s">
        <v>34</v>
      </c>
      <c r="D127" s="4">
        <v>0.99809481</v>
      </c>
      <c r="E127" s="4">
        <v>0.68458675000000002</v>
      </c>
      <c r="F127" s="4"/>
      <c r="G127" s="4">
        <v>0.78773784000000002</v>
      </c>
      <c r="H127" s="7"/>
    </row>
    <row r="128" spans="1:8" x14ac:dyDescent="0.2">
      <c r="C128" s="38"/>
      <c r="D128" s="40"/>
      <c r="E128" s="40"/>
      <c r="F128" s="40"/>
      <c r="G128" s="40"/>
      <c r="H128" s="7"/>
    </row>
    <row r="129" spans="3:8" x14ac:dyDescent="0.2">
      <c r="C129" s="17" t="s">
        <v>51</v>
      </c>
      <c r="D129" s="43">
        <f>AVERAGE(D125:D127)</f>
        <v>1</v>
      </c>
      <c r="E129" s="43">
        <f>AVERAGE(E125:E127)</f>
        <v>0.75443941000000014</v>
      </c>
      <c r="F129" s="43">
        <f>AVERAGE(F125:F127)</f>
        <v>0.76096263500000005</v>
      </c>
      <c r="G129" s="43">
        <f>AVERAGE(G125:G127)</f>
        <v>0.76012924000000004</v>
      </c>
    </row>
    <row r="130" spans="3:8" x14ac:dyDescent="0.2">
      <c r="C130" s="17" t="s">
        <v>13</v>
      </c>
      <c r="D130" s="43">
        <f>STDEV(D125:D127)</f>
        <v>1.5051849434973107E-2</v>
      </c>
      <c r="E130" s="43">
        <f>STDEV(E125:E127)</f>
        <v>0.12574563384295512</v>
      </c>
      <c r="F130" s="43">
        <f>STDEV(F125:F127)</f>
        <v>1.7855528098335478E-2</v>
      </c>
      <c r="G130" s="43">
        <f>STDEV(G125:G127)</f>
        <v>6.8490735361405639E-2</v>
      </c>
    </row>
    <row r="131" spans="3:8" x14ac:dyDescent="0.2">
      <c r="C131" s="17" t="s">
        <v>14</v>
      </c>
      <c r="D131" s="43">
        <f>D130/SQRT(3)</f>
        <v>8.6901893230834394E-3</v>
      </c>
      <c r="E131" s="43">
        <f>E130/SQRT(3)</f>
        <v>7.2599275548650255E-2</v>
      </c>
      <c r="F131" s="43">
        <f>F130/SQRT(2)</f>
        <v>1.2625764999999955E-2</v>
      </c>
      <c r="G131" s="43">
        <f>G130/SQRT(3)</f>
        <v>3.9543144497902971E-2</v>
      </c>
    </row>
    <row r="134" spans="3:8" ht="18" x14ac:dyDescent="0.2">
      <c r="C134" s="19" t="s">
        <v>52</v>
      </c>
      <c r="D134" s="20"/>
      <c r="E134" s="20"/>
      <c r="F134" s="20"/>
      <c r="G134" s="20"/>
      <c r="H134" s="20"/>
    </row>
    <row r="135" spans="3:8" x14ac:dyDescent="0.2">
      <c r="C135" s="9"/>
      <c r="D135" s="9"/>
      <c r="E135" s="9"/>
      <c r="F135" s="9"/>
      <c r="G135" s="9"/>
      <c r="H135" s="9"/>
    </row>
    <row r="136" spans="3:8" x14ac:dyDescent="0.2">
      <c r="C136" s="15" t="s">
        <v>53</v>
      </c>
      <c r="D136" s="9"/>
      <c r="E136" s="9"/>
      <c r="F136" s="9"/>
      <c r="G136" s="9"/>
      <c r="H136" s="9"/>
    </row>
    <row r="137" spans="3:8" x14ac:dyDescent="0.2">
      <c r="C137" s="2" t="s">
        <v>0</v>
      </c>
      <c r="D137" s="9"/>
      <c r="E137" s="9"/>
      <c r="F137" s="1">
        <v>7.1280000000000001</v>
      </c>
      <c r="G137" s="9"/>
      <c r="H137" s="9"/>
    </row>
    <row r="138" spans="3:8" x14ac:dyDescent="0.2">
      <c r="C138" s="2" t="s">
        <v>36</v>
      </c>
      <c r="D138" s="9"/>
      <c r="E138" s="9"/>
      <c r="F138" s="1">
        <v>0.02</v>
      </c>
      <c r="G138" s="9"/>
      <c r="H138" s="9"/>
    </row>
    <row r="139" spans="3:8" x14ac:dyDescent="0.2">
      <c r="C139" s="2" t="s">
        <v>37</v>
      </c>
      <c r="D139" s="9"/>
      <c r="E139" s="9"/>
      <c r="F139" s="46" t="s">
        <v>12</v>
      </c>
      <c r="G139" s="16"/>
      <c r="H139" s="9"/>
    </row>
    <row r="140" spans="3:8" x14ac:dyDescent="0.2">
      <c r="C140" s="2" t="s">
        <v>54</v>
      </c>
      <c r="D140" s="9"/>
      <c r="E140" s="9"/>
      <c r="F140" s="46" t="s">
        <v>41</v>
      </c>
      <c r="G140" s="1"/>
      <c r="H140" s="9"/>
    </row>
    <row r="141" spans="3:8" x14ac:dyDescent="0.2">
      <c r="C141" s="2" t="s">
        <v>55</v>
      </c>
      <c r="D141" s="9"/>
      <c r="E141" s="9"/>
      <c r="F141" s="1">
        <v>0.75339999999999996</v>
      </c>
      <c r="G141" s="1"/>
      <c r="H141" s="9"/>
    </row>
    <row r="142" spans="3:8" x14ac:dyDescent="0.2">
      <c r="C142" s="9"/>
      <c r="D142" s="9"/>
      <c r="E142" s="9"/>
      <c r="F142" s="9"/>
      <c r="G142" s="9"/>
      <c r="H142" s="9"/>
    </row>
    <row r="143" spans="3:8" x14ac:dyDescent="0.2">
      <c r="C143" s="15" t="s">
        <v>44</v>
      </c>
      <c r="D143" s="9"/>
      <c r="E143" s="2"/>
      <c r="F143" s="1"/>
      <c r="G143" s="1"/>
      <c r="H143" s="9"/>
    </row>
    <row r="144" spans="3:8" x14ac:dyDescent="0.2">
      <c r="C144" s="9"/>
      <c r="D144" s="16" t="s">
        <v>45</v>
      </c>
      <c r="E144" s="16" t="s">
        <v>46</v>
      </c>
      <c r="F144" s="16" t="s">
        <v>47</v>
      </c>
      <c r="G144" s="16" t="s">
        <v>48</v>
      </c>
      <c r="H144" s="16" t="s">
        <v>5</v>
      </c>
    </row>
    <row r="145" spans="1:8" x14ac:dyDescent="0.2">
      <c r="C145" s="2" t="s">
        <v>6</v>
      </c>
      <c r="D145" s="1">
        <v>0.24560000000000001</v>
      </c>
      <c r="E145" s="1" t="s">
        <v>140</v>
      </c>
      <c r="F145" s="1" t="s">
        <v>41</v>
      </c>
      <c r="G145" s="1" t="s">
        <v>12</v>
      </c>
      <c r="H145" s="1">
        <v>0.02</v>
      </c>
    </row>
    <row r="146" spans="1:8" x14ac:dyDescent="0.2">
      <c r="C146" s="2" t="s">
        <v>7</v>
      </c>
      <c r="D146" s="1">
        <v>0.23899999999999999</v>
      </c>
      <c r="E146" s="1" t="s">
        <v>141</v>
      </c>
      <c r="F146" s="1" t="s">
        <v>41</v>
      </c>
      <c r="G146" s="1" t="s">
        <v>12</v>
      </c>
      <c r="H146" s="1">
        <v>0.03</v>
      </c>
    </row>
    <row r="147" spans="1:8" x14ac:dyDescent="0.2">
      <c r="C147" s="2" t="s">
        <v>8</v>
      </c>
      <c r="D147" s="1">
        <v>0.2399</v>
      </c>
      <c r="E147" s="1" t="s">
        <v>142</v>
      </c>
      <c r="F147" s="1" t="s">
        <v>41</v>
      </c>
      <c r="G147" s="1" t="s">
        <v>12</v>
      </c>
      <c r="H147" s="1">
        <v>0.02</v>
      </c>
    </row>
    <row r="151" spans="1:8" ht="18" x14ac:dyDescent="0.2">
      <c r="A151" s="14" t="s">
        <v>26</v>
      </c>
    </row>
    <row r="153" spans="1:8" x14ac:dyDescent="0.2">
      <c r="C153" s="36"/>
      <c r="D153" s="12" t="s">
        <v>1</v>
      </c>
      <c r="E153" s="12" t="s">
        <v>2</v>
      </c>
      <c r="F153" s="12" t="s">
        <v>3</v>
      </c>
      <c r="G153" s="12" t="s">
        <v>4</v>
      </c>
      <c r="H153" s="37"/>
    </row>
    <row r="154" spans="1:8" x14ac:dyDescent="0.2">
      <c r="C154" s="44" t="s">
        <v>32</v>
      </c>
      <c r="D154" s="4">
        <v>1.0147354399999999</v>
      </c>
      <c r="E154" s="4">
        <v>0.95570615000000003</v>
      </c>
      <c r="F154" s="4">
        <v>0.54186431000000002</v>
      </c>
      <c r="G154" s="4">
        <v>0.67722872999999995</v>
      </c>
      <c r="H154" s="7"/>
    </row>
    <row r="155" spans="1:8" x14ac:dyDescent="0.2">
      <c r="C155" s="44" t="s">
        <v>33</v>
      </c>
      <c r="D155" s="4">
        <v>0.99934299000000004</v>
      </c>
      <c r="E155" s="4">
        <v>0.62737781999999997</v>
      </c>
      <c r="F155" s="4">
        <v>0.71961430000000004</v>
      </c>
      <c r="G155" s="4">
        <v>0.67396948000000001</v>
      </c>
      <c r="H155" s="7"/>
    </row>
    <row r="156" spans="1:8" x14ac:dyDescent="0.2">
      <c r="C156" s="44" t="s">
        <v>34</v>
      </c>
      <c r="D156" s="4">
        <v>1.00708204</v>
      </c>
      <c r="E156" s="4">
        <v>0.58622932000000005</v>
      </c>
      <c r="F156" s="4"/>
      <c r="G156" s="4">
        <v>0.84903139999999999</v>
      </c>
      <c r="H156" s="7"/>
    </row>
    <row r="157" spans="1:8" x14ac:dyDescent="0.2">
      <c r="C157" s="44" t="s">
        <v>35</v>
      </c>
      <c r="D157" s="4">
        <v>1.0227133399999999</v>
      </c>
      <c r="E157" s="4"/>
      <c r="F157" s="4"/>
      <c r="G157" s="4"/>
      <c r="H157" s="7"/>
    </row>
    <row r="158" spans="1:8" x14ac:dyDescent="0.2">
      <c r="C158" s="44" t="s">
        <v>81</v>
      </c>
      <c r="D158" s="4">
        <v>0.95612618999999999</v>
      </c>
      <c r="E158" s="4"/>
      <c r="F158" s="4"/>
      <c r="G158" s="4"/>
    </row>
    <row r="160" spans="1:8" x14ac:dyDescent="0.2">
      <c r="C160" s="17" t="s">
        <v>51</v>
      </c>
      <c r="D160" s="43">
        <f>AVERAGE(D154:D158)</f>
        <v>1</v>
      </c>
      <c r="E160" s="43">
        <f>AVERAGE(E154:E156)</f>
        <v>0.72310443000000013</v>
      </c>
      <c r="F160" s="43">
        <f>AVERAGE(F154:F156)</f>
        <v>0.63073930500000008</v>
      </c>
      <c r="G160" s="43">
        <f>AVERAGE(G154:G156)</f>
        <v>0.73340987000000002</v>
      </c>
    </row>
    <row r="161" spans="3:8" x14ac:dyDescent="0.2">
      <c r="C161" s="17" t="s">
        <v>13</v>
      </c>
      <c r="D161" s="43">
        <f>STDEV(D154:D158)</f>
        <v>2.6021756102187814E-2</v>
      </c>
      <c r="E161" s="43">
        <f>STDEV(E154:E156)</f>
        <v>0.20248696223036478</v>
      </c>
      <c r="F161" s="43">
        <f>STDEV(F154:F156)</f>
        <v>0.12568822328484044</v>
      </c>
      <c r="G161" s="43">
        <f>STDEV(G154:G156)</f>
        <v>0.10014444231856443</v>
      </c>
    </row>
    <row r="162" spans="3:8" x14ac:dyDescent="0.2">
      <c r="C162" s="17" t="s">
        <v>14</v>
      </c>
      <c r="D162" s="43">
        <f>D161/SQRT(5)</f>
        <v>1.1637283107682382E-2</v>
      </c>
      <c r="E162" s="43">
        <f>E161/SQRT(3)</f>
        <v>0.1169059021510907</v>
      </c>
      <c r="F162" s="43">
        <f>F161/SQRT(2)</f>
        <v>8.8874994999999596E-2</v>
      </c>
      <c r="G162" s="43">
        <f>G161/SQRT(3)</f>
        <v>5.7818420730468126E-2</v>
      </c>
    </row>
    <row r="165" spans="3:8" ht="18" x14ac:dyDescent="0.2">
      <c r="C165" s="19" t="s">
        <v>52</v>
      </c>
      <c r="D165" s="20"/>
      <c r="E165" s="20"/>
      <c r="F165" s="20"/>
      <c r="G165" s="20"/>
      <c r="H165" s="20"/>
    </row>
    <row r="166" spans="3:8" x14ac:dyDescent="0.2">
      <c r="C166" s="9"/>
      <c r="D166" s="9"/>
      <c r="E166" s="9"/>
      <c r="F166" s="9"/>
      <c r="G166" s="9"/>
      <c r="H166" s="9"/>
    </row>
    <row r="167" spans="3:8" x14ac:dyDescent="0.2">
      <c r="C167" s="15" t="s">
        <v>53</v>
      </c>
      <c r="D167" s="9"/>
      <c r="E167" s="9"/>
      <c r="F167" s="9"/>
      <c r="G167" s="9"/>
      <c r="H167" s="9"/>
    </row>
    <row r="168" spans="3:8" x14ac:dyDescent="0.2">
      <c r="C168" s="2" t="s">
        <v>0</v>
      </c>
      <c r="D168" s="9"/>
      <c r="E168" s="9"/>
      <c r="F168" s="1">
        <v>7.0730000000000004</v>
      </c>
      <c r="G168" s="9"/>
      <c r="H168" s="9"/>
    </row>
    <row r="169" spans="3:8" x14ac:dyDescent="0.2">
      <c r="C169" s="2" t="s">
        <v>36</v>
      </c>
      <c r="D169" s="9"/>
      <c r="E169" s="9"/>
      <c r="F169" s="1">
        <v>0.01</v>
      </c>
      <c r="G169" s="9"/>
      <c r="H169" s="9"/>
    </row>
    <row r="170" spans="3:8" x14ac:dyDescent="0.2">
      <c r="C170" s="2" t="s">
        <v>37</v>
      </c>
      <c r="D170" s="9"/>
      <c r="E170" s="9"/>
      <c r="F170" s="46" t="s">
        <v>11</v>
      </c>
      <c r="G170" s="16"/>
      <c r="H170" s="9"/>
    </row>
    <row r="171" spans="3:8" x14ac:dyDescent="0.2">
      <c r="C171" s="2" t="s">
        <v>54</v>
      </c>
      <c r="D171" s="9"/>
      <c r="E171" s="9"/>
      <c r="F171" s="46" t="s">
        <v>41</v>
      </c>
      <c r="G171" s="1"/>
      <c r="H171" s="9"/>
    </row>
    <row r="172" spans="3:8" x14ac:dyDescent="0.2">
      <c r="C172" s="2" t="s">
        <v>55</v>
      </c>
      <c r="D172" s="9"/>
      <c r="E172" s="9"/>
      <c r="F172" s="1">
        <v>0.70220000000000005</v>
      </c>
      <c r="G172" s="1"/>
      <c r="H172" s="9"/>
    </row>
    <row r="173" spans="3:8" x14ac:dyDescent="0.2">
      <c r="C173" s="9"/>
      <c r="D173" s="9"/>
      <c r="E173" s="9"/>
      <c r="F173" s="9"/>
      <c r="G173" s="9"/>
      <c r="H173" s="9"/>
    </row>
    <row r="174" spans="3:8" x14ac:dyDescent="0.2">
      <c r="C174" s="15" t="s">
        <v>44</v>
      </c>
      <c r="D174" s="9"/>
      <c r="E174" s="2"/>
      <c r="F174" s="1"/>
      <c r="G174" s="1"/>
      <c r="H174" s="9"/>
    </row>
    <row r="175" spans="3:8" x14ac:dyDescent="0.2">
      <c r="C175" s="9"/>
      <c r="D175" s="16" t="s">
        <v>45</v>
      </c>
      <c r="E175" s="16" t="s">
        <v>46</v>
      </c>
      <c r="F175" s="16" t="s">
        <v>47</v>
      </c>
      <c r="G175" s="16" t="s">
        <v>48</v>
      </c>
      <c r="H175" s="16" t="s">
        <v>5</v>
      </c>
    </row>
    <row r="176" spans="3:8" x14ac:dyDescent="0.2">
      <c r="C176" s="2" t="s">
        <v>6</v>
      </c>
      <c r="D176" s="1">
        <v>0.27689999999999998</v>
      </c>
      <c r="E176" s="1" t="s">
        <v>143</v>
      </c>
      <c r="F176" s="1" t="s">
        <v>41</v>
      </c>
      <c r="G176" s="1" t="s">
        <v>12</v>
      </c>
      <c r="H176" s="1">
        <v>0.03</v>
      </c>
    </row>
    <row r="177" spans="3:8" x14ac:dyDescent="0.2">
      <c r="C177" s="2" t="s">
        <v>7</v>
      </c>
      <c r="D177" s="1">
        <v>0.36930000000000002</v>
      </c>
      <c r="E177" s="1" t="s">
        <v>144</v>
      </c>
      <c r="F177" s="1" t="s">
        <v>41</v>
      </c>
      <c r="G177" s="1" t="s">
        <v>12</v>
      </c>
      <c r="H177" s="1">
        <v>0.01</v>
      </c>
    </row>
    <row r="178" spans="3:8" x14ac:dyDescent="0.2">
      <c r="C178" s="2" t="s">
        <v>8</v>
      </c>
      <c r="D178" s="1">
        <v>0.2666</v>
      </c>
      <c r="E178" s="1" t="s">
        <v>145</v>
      </c>
      <c r="F178" s="1" t="s">
        <v>41</v>
      </c>
      <c r="G178" s="1" t="s">
        <v>12</v>
      </c>
      <c r="H178" s="1">
        <v>0.03</v>
      </c>
    </row>
  </sheetData>
  <pageMargins left="0.7" right="0.7" top="0.75" bottom="0.75" header="0.3" footer="0.3"/>
  <ignoredErrors>
    <ignoredError sqref="F15 F44 F73 F102 F131 F162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2:H36"/>
  <sheetViews>
    <sheetView workbookViewId="0">
      <selection activeCell="I15" sqref="I15"/>
    </sheetView>
  </sheetViews>
  <sheetFormatPr baseColWidth="10" defaultRowHeight="16" x14ac:dyDescent="0.2"/>
  <cols>
    <col min="4" max="4" width="16" customWidth="1"/>
    <col min="7" max="7" width="15.6640625" customWidth="1"/>
  </cols>
  <sheetData>
    <row r="2" spans="1:6" s="9" customFormat="1" ht="18" x14ac:dyDescent="0.2">
      <c r="A2" s="53" t="s">
        <v>1175</v>
      </c>
      <c r="B2" s="8"/>
      <c r="C2" s="8"/>
    </row>
    <row r="4" spans="1:6" ht="18" x14ac:dyDescent="0.2">
      <c r="A4" s="14" t="s">
        <v>168</v>
      </c>
      <c r="B4" s="8"/>
      <c r="C4" s="8"/>
      <c r="D4" s="8"/>
      <c r="E4" s="8"/>
    </row>
    <row r="7" spans="1:6" x14ac:dyDescent="0.2">
      <c r="B7" s="21"/>
      <c r="C7" s="22" t="s">
        <v>1</v>
      </c>
      <c r="D7" s="22" t="s">
        <v>2</v>
      </c>
      <c r="E7" s="22" t="s">
        <v>3</v>
      </c>
      <c r="F7" s="22" t="s">
        <v>4</v>
      </c>
    </row>
    <row r="8" spans="1:6" x14ac:dyDescent="0.2">
      <c r="B8" s="11" t="s">
        <v>32</v>
      </c>
      <c r="C8" s="17">
        <v>1.7797818378895101</v>
      </c>
      <c r="D8" s="17">
        <v>1.0563600743581871</v>
      </c>
      <c r="E8" s="17">
        <v>0.78323567891711399</v>
      </c>
      <c r="F8" s="17">
        <v>0.72049210194875657</v>
      </c>
    </row>
    <row r="9" spans="1:6" x14ac:dyDescent="0.2">
      <c r="B9" s="11" t="s">
        <v>33</v>
      </c>
      <c r="C9" s="17">
        <v>2.0578688084024468</v>
      </c>
      <c r="D9" s="17">
        <v>0.81618552788697907</v>
      </c>
      <c r="E9" s="17">
        <v>0.9481123713737537</v>
      </c>
      <c r="F9" s="17">
        <v>0.7145946992656993</v>
      </c>
    </row>
    <row r="10" spans="1:6" x14ac:dyDescent="0.2">
      <c r="B10" s="11" t="s">
        <v>34</v>
      </c>
      <c r="C10" s="17">
        <v>1.5228668853018881</v>
      </c>
      <c r="D10" s="4"/>
      <c r="E10" s="17">
        <v>1.0207148855467025</v>
      </c>
      <c r="F10" s="4"/>
    </row>
    <row r="11" spans="1:6" x14ac:dyDescent="0.2">
      <c r="B11" s="11" t="s">
        <v>35</v>
      </c>
      <c r="C11" s="17">
        <v>1.7142555739325984</v>
      </c>
      <c r="D11" s="17"/>
      <c r="E11" s="17"/>
      <c r="F11" s="17"/>
    </row>
    <row r="12" spans="1:6" x14ac:dyDescent="0.2">
      <c r="B12" s="11" t="s">
        <v>81</v>
      </c>
      <c r="C12" s="17">
        <v>1.7867798443075453</v>
      </c>
      <c r="D12" s="17"/>
      <c r="E12" s="17"/>
      <c r="F12" s="17"/>
    </row>
    <row r="13" spans="1:6" x14ac:dyDescent="0.2">
      <c r="B13" s="11" t="s">
        <v>169</v>
      </c>
      <c r="C13" s="17">
        <v>1.292816494166602</v>
      </c>
      <c r="D13" s="17"/>
      <c r="E13" s="17"/>
      <c r="F13" s="17"/>
    </row>
    <row r="14" spans="1:6" x14ac:dyDescent="0.2">
      <c r="B14" s="11" t="s">
        <v>170</v>
      </c>
      <c r="C14" s="17">
        <v>1.8069790889978818</v>
      </c>
      <c r="D14" s="17"/>
      <c r="E14" s="17"/>
      <c r="F14" s="17"/>
    </row>
    <row r="15" spans="1:6" x14ac:dyDescent="0.2">
      <c r="B15" s="11" t="s">
        <v>171</v>
      </c>
      <c r="C15" s="17">
        <v>1.7347369192704571</v>
      </c>
      <c r="D15" s="17"/>
      <c r="E15" s="17"/>
      <c r="F15" s="17"/>
    </row>
    <row r="16" spans="1:6" x14ac:dyDescent="0.2">
      <c r="B16" s="11" t="s">
        <v>172</v>
      </c>
      <c r="C16" s="17">
        <v>1.5083430903467465</v>
      </c>
      <c r="D16" s="17"/>
      <c r="E16" s="17"/>
      <c r="F16" s="17"/>
    </row>
    <row r="17" spans="2:8" x14ac:dyDescent="0.2">
      <c r="C17" s="9"/>
      <c r="D17" s="9"/>
      <c r="E17" s="9"/>
      <c r="F17" s="9"/>
    </row>
    <row r="18" spans="2:8" x14ac:dyDescent="0.2">
      <c r="B18" s="17" t="s">
        <v>51</v>
      </c>
      <c r="C18" s="17">
        <f>AVERAGE(C8:C16)</f>
        <v>1.6893809491795195</v>
      </c>
      <c r="D18" s="17">
        <f>AVERAGE(D8:D9)</f>
        <v>0.93627280112258315</v>
      </c>
      <c r="E18" s="17">
        <f>AVERAGE(E8:E10)</f>
        <v>0.9173543119458567</v>
      </c>
      <c r="F18" s="17">
        <f>AVERAGE(F8:F9)</f>
        <v>0.71754340060722788</v>
      </c>
    </row>
    <row r="19" spans="2:8" x14ac:dyDescent="0.2">
      <c r="B19" s="17" t="s">
        <v>13</v>
      </c>
      <c r="C19" s="17">
        <f>STDEV(C8:C16)</f>
        <v>0.22014552235230067</v>
      </c>
      <c r="D19" s="17">
        <f>STDEV(D8:D9)</f>
        <v>0.1698290504781941</v>
      </c>
      <c r="E19" s="17">
        <f>STDEV(E8:E10)</f>
        <v>0.12169074352711505</v>
      </c>
      <c r="F19" s="17">
        <f>STDEV(F8:F9)</f>
        <v>4.1700934285775378E-3</v>
      </c>
    </row>
    <row r="20" spans="2:8" x14ac:dyDescent="0.2">
      <c r="B20" s="17" t="s">
        <v>14</v>
      </c>
      <c r="C20" s="45">
        <f>C19/(9^0.5)</f>
        <v>7.3381840784100219E-2</v>
      </c>
      <c r="D20" s="45">
        <f>D19/(2^0.5)</f>
        <v>0.12008727323560353</v>
      </c>
      <c r="E20" s="45">
        <f>E19/(3^0.5)</f>
        <v>7.0258183533265586E-2</v>
      </c>
      <c r="F20" s="45">
        <f>F19/(2^0.5)</f>
        <v>2.9487013415286367E-3</v>
      </c>
    </row>
    <row r="23" spans="2:8" ht="18" x14ac:dyDescent="0.2">
      <c r="B23" s="19" t="s">
        <v>52</v>
      </c>
      <c r="C23" s="20"/>
      <c r="D23" s="20"/>
      <c r="E23" s="20"/>
      <c r="F23" s="20"/>
      <c r="G23" s="9"/>
      <c r="H23" s="9"/>
    </row>
    <row r="24" spans="2:8" x14ac:dyDescent="0.2">
      <c r="B24" s="9"/>
      <c r="C24" s="9"/>
      <c r="D24" s="9"/>
      <c r="E24" s="9"/>
      <c r="F24" s="9"/>
      <c r="G24" s="9"/>
      <c r="H24" s="9"/>
    </row>
    <row r="25" spans="2:8" x14ac:dyDescent="0.2">
      <c r="B25" s="15" t="s">
        <v>53</v>
      </c>
      <c r="C25" s="9"/>
      <c r="D25" s="9"/>
      <c r="E25" s="9"/>
      <c r="F25" s="9"/>
      <c r="G25" s="9"/>
      <c r="H25" s="9"/>
    </row>
    <row r="26" spans="2:8" x14ac:dyDescent="0.2">
      <c r="B26" s="2" t="s">
        <v>0</v>
      </c>
      <c r="D26" s="9"/>
      <c r="F26" s="9">
        <v>24.5</v>
      </c>
      <c r="G26" s="9"/>
      <c r="H26" s="9"/>
    </row>
    <row r="27" spans="2:8" x14ac:dyDescent="0.2">
      <c r="B27" s="2" t="s">
        <v>36</v>
      </c>
      <c r="D27" s="9"/>
      <c r="F27" s="48" t="s">
        <v>40</v>
      </c>
      <c r="G27" s="9"/>
      <c r="H27" s="9"/>
    </row>
    <row r="28" spans="2:8" x14ac:dyDescent="0.2">
      <c r="B28" s="2" t="s">
        <v>37</v>
      </c>
      <c r="D28" s="9"/>
      <c r="F28" s="48" t="s">
        <v>10</v>
      </c>
      <c r="G28" s="9"/>
      <c r="H28" s="9"/>
    </row>
    <row r="29" spans="2:8" x14ac:dyDescent="0.2">
      <c r="B29" s="2" t="s">
        <v>54</v>
      </c>
      <c r="D29" s="9"/>
      <c r="F29" s="48" t="s">
        <v>41</v>
      </c>
      <c r="G29" s="9"/>
      <c r="H29" s="9"/>
    </row>
    <row r="30" spans="2:8" x14ac:dyDescent="0.2">
      <c r="B30" s="2" t="s">
        <v>55</v>
      </c>
      <c r="D30" s="9"/>
      <c r="F30" s="9">
        <v>0.85970000000000002</v>
      </c>
      <c r="G30" s="9"/>
      <c r="H30" s="9"/>
    </row>
    <row r="31" spans="2:8" x14ac:dyDescent="0.2">
      <c r="B31" s="9"/>
      <c r="C31" s="9"/>
      <c r="D31" s="9"/>
      <c r="E31" s="9"/>
      <c r="F31" s="9"/>
      <c r="G31" s="9"/>
      <c r="H31" s="9"/>
    </row>
    <row r="32" spans="2:8" x14ac:dyDescent="0.2">
      <c r="B32" s="15" t="s">
        <v>44</v>
      </c>
      <c r="C32" s="9"/>
      <c r="D32" s="2"/>
      <c r="E32" s="1"/>
      <c r="F32" s="1"/>
      <c r="G32" s="9"/>
      <c r="H32" s="9"/>
    </row>
    <row r="33" spans="2:8" x14ac:dyDescent="0.2">
      <c r="B33" s="9"/>
      <c r="C33" s="16" t="s">
        <v>45</v>
      </c>
      <c r="D33" s="16" t="s">
        <v>46</v>
      </c>
      <c r="E33" s="16" t="s">
        <v>47</v>
      </c>
      <c r="F33" s="16" t="s">
        <v>48</v>
      </c>
      <c r="G33" s="16" t="s">
        <v>5</v>
      </c>
      <c r="H33" s="9"/>
    </row>
    <row r="34" spans="2:8" x14ac:dyDescent="0.2">
      <c r="B34" s="2" t="s">
        <v>6</v>
      </c>
      <c r="C34" s="1">
        <v>0.75309999999999999</v>
      </c>
      <c r="D34" s="1" t="s">
        <v>173</v>
      </c>
      <c r="E34" s="1" t="s">
        <v>41</v>
      </c>
      <c r="F34" s="1" t="s">
        <v>10</v>
      </c>
      <c r="G34" s="49">
        <v>8.9999999999999998E-4</v>
      </c>
      <c r="H34" s="9"/>
    </row>
    <row r="35" spans="2:8" x14ac:dyDescent="0.2">
      <c r="B35" s="2" t="s">
        <v>7</v>
      </c>
      <c r="C35" s="1">
        <v>0.77200000000000002</v>
      </c>
      <c r="D35" s="1" t="s">
        <v>174</v>
      </c>
      <c r="E35" s="1" t="s">
        <v>41</v>
      </c>
      <c r="F35" s="1" t="s">
        <v>10</v>
      </c>
      <c r="G35" s="49">
        <v>2.0000000000000001E-4</v>
      </c>
      <c r="H35" s="9"/>
    </row>
    <row r="36" spans="2:8" x14ac:dyDescent="0.2">
      <c r="B36" s="2" t="s">
        <v>8</v>
      </c>
      <c r="C36" s="1">
        <v>0.9718</v>
      </c>
      <c r="D36" s="1" t="s">
        <v>175</v>
      </c>
      <c r="E36" s="1" t="s">
        <v>41</v>
      </c>
      <c r="F36" s="1" t="s">
        <v>10</v>
      </c>
      <c r="G36" s="50" t="s">
        <v>176</v>
      </c>
      <c r="H36" s="9"/>
    </row>
  </sheetData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2:H94"/>
  <sheetViews>
    <sheetView workbookViewId="0">
      <selection activeCell="M27" sqref="M27"/>
    </sheetView>
  </sheetViews>
  <sheetFormatPr baseColWidth="10" defaultRowHeight="16" x14ac:dyDescent="0.2"/>
  <cols>
    <col min="1" max="1" width="14.1640625" customWidth="1"/>
    <col min="2" max="2" width="23.1640625" customWidth="1"/>
  </cols>
  <sheetData>
    <row r="2" spans="1:7" s="9" customFormat="1" ht="18" x14ac:dyDescent="0.2">
      <c r="A2" s="53" t="s">
        <v>1176</v>
      </c>
      <c r="B2" s="8"/>
      <c r="C2" s="42"/>
    </row>
    <row r="3" spans="1:7" s="9" customFormat="1" ht="18" x14ac:dyDescent="0.2">
      <c r="A3" s="80"/>
      <c r="B3" s="42"/>
      <c r="C3" s="42"/>
    </row>
    <row r="4" spans="1:7" s="9" customFormat="1" ht="18" x14ac:dyDescent="0.2">
      <c r="A4" s="53" t="s">
        <v>923</v>
      </c>
      <c r="B4" s="8"/>
      <c r="C4" s="8"/>
    </row>
    <row r="6" spans="1:7" ht="18" x14ac:dyDescent="0.2">
      <c r="A6" s="14" t="s">
        <v>146</v>
      </c>
      <c r="B6" s="9"/>
      <c r="C6" s="9"/>
      <c r="D6" s="9"/>
      <c r="E6" s="9"/>
      <c r="F6" s="9"/>
      <c r="G6" s="9"/>
    </row>
    <row r="7" spans="1:7" x14ac:dyDescent="0.2">
      <c r="A7" s="9"/>
      <c r="B7" s="9"/>
      <c r="C7" s="9"/>
      <c r="D7" s="9"/>
      <c r="E7" s="9"/>
      <c r="F7" s="9"/>
      <c r="G7" s="9"/>
    </row>
    <row r="8" spans="1:7" x14ac:dyDescent="0.2">
      <c r="A8" s="9"/>
      <c r="B8" s="9"/>
      <c r="C8" s="9"/>
      <c r="D8" s="9"/>
      <c r="E8" s="9"/>
      <c r="F8" s="9"/>
      <c r="G8" s="9"/>
    </row>
    <row r="9" spans="1:7" x14ac:dyDescent="0.2">
      <c r="A9" s="9"/>
      <c r="B9" s="21"/>
      <c r="C9" s="22" t="s">
        <v>1</v>
      </c>
      <c r="D9" s="22" t="s">
        <v>31</v>
      </c>
      <c r="E9" s="22" t="s">
        <v>2</v>
      </c>
      <c r="F9" s="22" t="s">
        <v>3</v>
      </c>
      <c r="G9" s="22" t="s">
        <v>4</v>
      </c>
    </row>
    <row r="10" spans="1:7" x14ac:dyDescent="0.2">
      <c r="A10" s="9"/>
      <c r="B10" s="11" t="s">
        <v>147</v>
      </c>
      <c r="C10" s="4">
        <v>55</v>
      </c>
      <c r="D10" s="4">
        <v>27</v>
      </c>
      <c r="E10" s="4">
        <v>26.59</v>
      </c>
      <c r="F10" s="4">
        <v>14.77</v>
      </c>
      <c r="G10" s="4">
        <v>24.13</v>
      </c>
    </row>
    <row r="11" spans="1:7" x14ac:dyDescent="0.2">
      <c r="A11" s="9"/>
      <c r="B11" s="11" t="s">
        <v>148</v>
      </c>
      <c r="C11" s="4">
        <v>53</v>
      </c>
      <c r="D11" s="4">
        <v>33</v>
      </c>
      <c r="E11" s="4">
        <v>12.385</v>
      </c>
      <c r="F11" s="4">
        <v>26.942721599999999</v>
      </c>
      <c r="G11" s="4">
        <v>24.136666699999999</v>
      </c>
    </row>
    <row r="12" spans="1:7" x14ac:dyDescent="0.2">
      <c r="A12" s="9"/>
      <c r="B12" s="11" t="s">
        <v>149</v>
      </c>
      <c r="C12" s="4">
        <v>54</v>
      </c>
      <c r="D12" s="4">
        <v>30</v>
      </c>
      <c r="E12" s="4">
        <v>18.230661699999999</v>
      </c>
      <c r="F12" s="4"/>
      <c r="G12" s="4">
        <v>26.880243499999999</v>
      </c>
    </row>
    <row r="13" spans="1:7" x14ac:dyDescent="0.2">
      <c r="A13" s="9"/>
      <c r="B13" s="9"/>
      <c r="C13" s="9"/>
      <c r="E13" s="9"/>
      <c r="F13" s="9"/>
      <c r="G13" s="9"/>
    </row>
    <row r="14" spans="1:7" x14ac:dyDescent="0.2">
      <c r="A14" s="9"/>
      <c r="B14" s="17" t="s">
        <v>51</v>
      </c>
      <c r="C14" s="17">
        <f>AVERAGE(C10:C12)</f>
        <v>54</v>
      </c>
      <c r="D14" s="17">
        <f>AVERAGE(D10:D12)</f>
        <v>30</v>
      </c>
      <c r="E14" s="17">
        <f>AVERAGE(E10:E12)</f>
        <v>19.068553900000001</v>
      </c>
      <c r="F14" s="17">
        <f t="shared" ref="F14:G14" si="0">AVERAGE(F10:F12)</f>
        <v>20.856360799999997</v>
      </c>
      <c r="G14" s="17">
        <f t="shared" si="0"/>
        <v>25.048970066666669</v>
      </c>
    </row>
    <row r="15" spans="1:7" x14ac:dyDescent="0.2">
      <c r="A15" s="9"/>
      <c r="B15" s="17" t="s">
        <v>13</v>
      </c>
      <c r="C15" s="17">
        <f>STDEV(C10:C12)</f>
        <v>1</v>
      </c>
      <c r="D15" s="17">
        <f>STDEV(D10:D12)</f>
        <v>3</v>
      </c>
      <c r="E15" s="17">
        <f t="shared" ref="E15:G15" si="1">STDEV(E10:E12)</f>
        <v>7.1394715318513287</v>
      </c>
      <c r="F15" s="17">
        <f t="shared" si="1"/>
        <v>8.6074139888559671</v>
      </c>
      <c r="G15" s="17">
        <f t="shared" si="1"/>
        <v>1.5859328176018563</v>
      </c>
    </row>
    <row r="16" spans="1:7" x14ac:dyDescent="0.2">
      <c r="A16" s="9"/>
      <c r="B16" s="17" t="s">
        <v>14</v>
      </c>
      <c r="C16" s="17">
        <f>C15/SQRT(3)</f>
        <v>0.57735026918962584</v>
      </c>
      <c r="D16" s="17">
        <f>D15/SQRT(3)</f>
        <v>1.7320508075688774</v>
      </c>
      <c r="E16" s="17">
        <f>E15/SQRT(3)</f>
        <v>4.1219758107860347</v>
      </c>
      <c r="F16" s="17">
        <f>F15/SQRT(3)</f>
        <v>4.9694927834925435</v>
      </c>
      <c r="G16" s="17">
        <f>G15/SQRT(3)</f>
        <v>0.91563873915909344</v>
      </c>
    </row>
    <row r="17" spans="1:7" x14ac:dyDescent="0.2">
      <c r="A17" s="9"/>
      <c r="B17" s="9"/>
      <c r="C17" s="9"/>
      <c r="D17" s="9"/>
      <c r="E17" s="9"/>
      <c r="F17" s="9"/>
      <c r="G17" s="9"/>
    </row>
    <row r="18" spans="1:7" x14ac:dyDescent="0.2">
      <c r="A18" s="9"/>
      <c r="B18" s="9"/>
      <c r="C18" s="9"/>
      <c r="D18" s="9"/>
      <c r="E18" s="9"/>
      <c r="F18" s="9"/>
      <c r="G18" s="9"/>
    </row>
    <row r="19" spans="1:7" ht="18" x14ac:dyDescent="0.2">
      <c r="A19" s="9"/>
      <c r="B19" s="19" t="s">
        <v>52</v>
      </c>
      <c r="C19" s="20"/>
      <c r="D19" s="20"/>
      <c r="E19" s="20"/>
      <c r="F19" s="20"/>
      <c r="G19" s="20"/>
    </row>
    <row r="20" spans="1:7" x14ac:dyDescent="0.2">
      <c r="A20" s="9"/>
      <c r="B20" s="9"/>
      <c r="C20" s="9"/>
      <c r="D20" s="9"/>
      <c r="E20" s="9"/>
      <c r="F20" s="9"/>
      <c r="G20" s="9"/>
    </row>
    <row r="21" spans="1:7" x14ac:dyDescent="0.2">
      <c r="A21" s="9"/>
      <c r="B21" s="15" t="s">
        <v>53</v>
      </c>
      <c r="C21" s="9"/>
      <c r="D21" s="9"/>
      <c r="E21" s="9"/>
      <c r="F21" s="9"/>
      <c r="G21" s="9"/>
    </row>
    <row r="22" spans="1:7" x14ac:dyDescent="0.2">
      <c r="A22" s="9"/>
      <c r="B22" s="2" t="s">
        <v>0</v>
      </c>
      <c r="C22" s="9"/>
      <c r="D22" s="9"/>
      <c r="E22" s="1">
        <v>26.01</v>
      </c>
      <c r="F22" s="9"/>
      <c r="G22" s="9"/>
    </row>
    <row r="23" spans="1:7" x14ac:dyDescent="0.2">
      <c r="A23" s="9"/>
      <c r="B23" s="2" t="s">
        <v>36</v>
      </c>
      <c r="C23" s="9"/>
      <c r="D23" s="9"/>
      <c r="E23" s="46" t="s">
        <v>40</v>
      </c>
      <c r="F23" s="9"/>
      <c r="G23" s="9"/>
    </row>
    <row r="24" spans="1:7" x14ac:dyDescent="0.2">
      <c r="A24" s="9"/>
      <c r="B24" s="2" t="s">
        <v>37</v>
      </c>
      <c r="C24" s="9"/>
      <c r="D24" s="9"/>
      <c r="E24" s="46" t="s">
        <v>10</v>
      </c>
      <c r="F24" s="16"/>
      <c r="G24" s="9"/>
    </row>
    <row r="25" spans="1:7" x14ac:dyDescent="0.2">
      <c r="A25" s="9"/>
      <c r="B25" s="2" t="s">
        <v>54</v>
      </c>
      <c r="C25" s="9"/>
      <c r="D25" s="9"/>
      <c r="E25" s="46" t="s">
        <v>41</v>
      </c>
      <c r="F25" s="1"/>
      <c r="G25" s="9"/>
    </row>
    <row r="26" spans="1:7" x14ac:dyDescent="0.2">
      <c r="A26" s="9"/>
      <c r="B26" s="2" t="s">
        <v>55</v>
      </c>
      <c r="C26" s="9"/>
      <c r="D26" s="9"/>
      <c r="E26" s="1">
        <v>0.9204</v>
      </c>
      <c r="F26" s="1"/>
      <c r="G26" s="9"/>
    </row>
    <row r="27" spans="1:7" x14ac:dyDescent="0.2">
      <c r="A27" s="9"/>
      <c r="B27" s="9"/>
      <c r="C27" s="9"/>
      <c r="D27" s="9"/>
      <c r="E27" s="9"/>
      <c r="F27" s="9"/>
      <c r="G27" s="9"/>
    </row>
    <row r="28" spans="1:7" x14ac:dyDescent="0.2">
      <c r="A28" s="9"/>
      <c r="B28" s="15" t="s">
        <v>44</v>
      </c>
      <c r="C28" s="9"/>
      <c r="D28" s="2"/>
      <c r="E28" s="1"/>
      <c r="F28" s="1"/>
      <c r="G28" s="9"/>
    </row>
    <row r="29" spans="1:7" x14ac:dyDescent="0.2">
      <c r="A29" s="9"/>
      <c r="B29" s="9"/>
      <c r="C29" s="16" t="s">
        <v>45</v>
      </c>
      <c r="D29" s="16" t="s">
        <v>46</v>
      </c>
      <c r="E29" s="16" t="s">
        <v>47</v>
      </c>
      <c r="F29" s="16" t="s">
        <v>48</v>
      </c>
      <c r="G29" s="16" t="s">
        <v>5</v>
      </c>
    </row>
    <row r="30" spans="1:7" x14ac:dyDescent="0.2">
      <c r="A30" s="9"/>
      <c r="B30" s="2" t="s">
        <v>30</v>
      </c>
      <c r="C30" s="1">
        <v>24</v>
      </c>
      <c r="D30" s="1" t="s">
        <v>150</v>
      </c>
      <c r="E30" s="1" t="s">
        <v>41</v>
      </c>
      <c r="F30" s="1" t="s">
        <v>10</v>
      </c>
      <c r="G30" s="46" t="s">
        <v>40</v>
      </c>
    </row>
    <row r="31" spans="1:7" x14ac:dyDescent="0.2">
      <c r="A31" s="9"/>
      <c r="B31" s="2" t="s">
        <v>6</v>
      </c>
      <c r="C31" s="1">
        <v>34.93</v>
      </c>
      <c r="D31" s="1" t="s">
        <v>151</v>
      </c>
      <c r="E31" s="1" t="s">
        <v>41</v>
      </c>
      <c r="F31" s="1" t="s">
        <v>10</v>
      </c>
      <c r="G31" s="46" t="s">
        <v>40</v>
      </c>
    </row>
    <row r="32" spans="1:7" x14ac:dyDescent="0.2">
      <c r="A32" s="9"/>
      <c r="B32" s="2" t="s">
        <v>7</v>
      </c>
      <c r="C32" s="1">
        <v>33.14</v>
      </c>
      <c r="D32" s="1" t="s">
        <v>152</v>
      </c>
      <c r="E32" s="1" t="s">
        <v>41</v>
      </c>
      <c r="F32" s="1" t="s">
        <v>10</v>
      </c>
      <c r="G32" s="46" t="s">
        <v>40</v>
      </c>
    </row>
    <row r="33" spans="1:8" x14ac:dyDescent="0.2">
      <c r="B33" s="2" t="s">
        <v>8</v>
      </c>
      <c r="C33" s="1">
        <v>28.95</v>
      </c>
      <c r="D33" s="1" t="s">
        <v>153</v>
      </c>
      <c r="E33" s="1" t="s">
        <v>41</v>
      </c>
      <c r="F33" s="1" t="s">
        <v>10</v>
      </c>
      <c r="G33" s="46" t="s">
        <v>40</v>
      </c>
    </row>
    <row r="37" spans="1:8" ht="18" x14ac:dyDescent="0.2">
      <c r="A37" s="14" t="s">
        <v>15</v>
      </c>
      <c r="B37" s="42"/>
      <c r="C37" s="42"/>
      <c r="D37" s="9"/>
      <c r="E37" s="9"/>
      <c r="F37" s="9"/>
      <c r="G37" s="9"/>
      <c r="H37" s="9"/>
    </row>
    <row r="38" spans="1:8" x14ac:dyDescent="0.2">
      <c r="A38" s="9"/>
      <c r="B38" s="9"/>
      <c r="C38" s="9"/>
      <c r="D38" s="9"/>
      <c r="E38" s="9"/>
      <c r="F38" s="9"/>
      <c r="G38" s="9"/>
      <c r="H38" s="9"/>
    </row>
    <row r="39" spans="1:8" x14ac:dyDescent="0.2">
      <c r="B39" s="36"/>
      <c r="C39" s="22" t="s">
        <v>1</v>
      </c>
      <c r="D39" s="22" t="s">
        <v>31</v>
      </c>
      <c r="E39" s="22" t="s">
        <v>2</v>
      </c>
      <c r="F39" s="22" t="s">
        <v>3</v>
      </c>
      <c r="G39" s="22" t="s">
        <v>4</v>
      </c>
    </row>
    <row r="40" spans="1:8" x14ac:dyDescent="0.2">
      <c r="A40" s="27"/>
      <c r="B40" s="10" t="s">
        <v>32</v>
      </c>
      <c r="C40" s="4">
        <v>48.7506652</v>
      </c>
      <c r="D40" s="4">
        <v>2.7032618099999999</v>
      </c>
      <c r="E40" s="4">
        <v>0.19160405999999999</v>
      </c>
      <c r="F40" s="4">
        <v>0.57127211</v>
      </c>
      <c r="G40" s="4">
        <v>3.0283878799999999</v>
      </c>
    </row>
    <row r="41" spans="1:8" x14ac:dyDescent="0.2">
      <c r="A41" s="9"/>
      <c r="B41" s="10" t="s">
        <v>33</v>
      </c>
      <c r="C41" s="4">
        <v>19.985060000000001</v>
      </c>
      <c r="D41" s="4">
        <v>0.19827750999999999</v>
      </c>
      <c r="E41" s="4">
        <v>8.5727020399999994</v>
      </c>
      <c r="F41" s="4">
        <v>2.8794634299999999</v>
      </c>
      <c r="G41" s="4">
        <v>4.9344866300000003</v>
      </c>
    </row>
    <row r="42" spans="1:8" x14ac:dyDescent="0.2">
      <c r="A42" s="9"/>
      <c r="B42" s="10" t="s">
        <v>34</v>
      </c>
      <c r="C42" s="4">
        <v>10.6826673</v>
      </c>
      <c r="D42" s="4">
        <v>3.2253895799999999</v>
      </c>
      <c r="E42" s="4">
        <v>2.8131763599999999</v>
      </c>
      <c r="F42" s="4">
        <v>2.7237607800000001</v>
      </c>
      <c r="G42" s="4">
        <v>3.3500903399999999</v>
      </c>
    </row>
    <row r="43" spans="1:8" x14ac:dyDescent="0.2">
      <c r="A43" s="9"/>
      <c r="B43" s="10" t="s">
        <v>35</v>
      </c>
      <c r="C43" s="4">
        <v>22.9440791</v>
      </c>
      <c r="D43" s="4">
        <v>1.75379939</v>
      </c>
      <c r="E43" s="4">
        <v>0.19160405999999999</v>
      </c>
      <c r="F43" s="4">
        <v>0.35439987000000001</v>
      </c>
      <c r="G43" s="4">
        <v>4.81771817</v>
      </c>
    </row>
    <row r="45" spans="1:8" x14ac:dyDescent="0.2">
      <c r="A45" s="9"/>
      <c r="B45" s="17" t="s">
        <v>51</v>
      </c>
      <c r="C45" s="17">
        <f>AVERAGE(C40:C43)</f>
        <v>25.590617900000002</v>
      </c>
      <c r="D45" s="17">
        <f t="shared" ref="D45:G45" si="2">AVERAGE(D40:D43)</f>
        <v>1.9701820724999999</v>
      </c>
      <c r="E45" s="17">
        <f t="shared" si="2"/>
        <v>2.9422716299999996</v>
      </c>
      <c r="F45" s="17">
        <f t="shared" si="2"/>
        <v>1.6322240475000001</v>
      </c>
      <c r="G45" s="17">
        <f t="shared" si="2"/>
        <v>4.0326707549999998</v>
      </c>
    </row>
    <row r="46" spans="1:8" x14ac:dyDescent="0.2">
      <c r="B46" s="17" t="s">
        <v>13</v>
      </c>
      <c r="C46" s="17">
        <f>STDEV(C40:C43)</f>
        <v>16.299910316935641</v>
      </c>
      <c r="D46" s="17">
        <f t="shared" ref="D46:G46" si="3">STDEV(D40:D43)</f>
        <v>1.3290872848577506</v>
      </c>
      <c r="E46" s="17">
        <f t="shared" si="3"/>
        <v>3.9518247410484757</v>
      </c>
      <c r="F46" s="17">
        <f t="shared" si="3"/>
        <v>1.3546847305977769</v>
      </c>
      <c r="G46" s="17">
        <f t="shared" si="3"/>
        <v>0.98388201056834679</v>
      </c>
    </row>
    <row r="47" spans="1:8" x14ac:dyDescent="0.2">
      <c r="B47" s="17" t="s">
        <v>14</v>
      </c>
      <c r="C47" s="17">
        <f>C46/SQRT(4)</f>
        <v>8.1499551584678205</v>
      </c>
      <c r="D47" s="17">
        <f t="shared" ref="D47:F47" si="4">D46/SQRT(4)</f>
        <v>0.66454364242887531</v>
      </c>
      <c r="E47" s="17">
        <f t="shared" si="4"/>
        <v>1.9759123705242378</v>
      </c>
      <c r="F47" s="17">
        <f t="shared" si="4"/>
        <v>0.67734236529888847</v>
      </c>
      <c r="G47" s="17">
        <f>G46/SQRT(4)</f>
        <v>0.49194100528417339</v>
      </c>
    </row>
    <row r="50" spans="2:7" ht="18" x14ac:dyDescent="0.2">
      <c r="B50" s="19" t="s">
        <v>52</v>
      </c>
      <c r="C50" s="20"/>
      <c r="D50" s="20"/>
      <c r="E50" s="20"/>
      <c r="F50" s="20"/>
      <c r="G50" s="20"/>
    </row>
    <row r="51" spans="2:7" x14ac:dyDescent="0.2">
      <c r="B51" s="9"/>
      <c r="C51" s="9"/>
      <c r="D51" s="9"/>
      <c r="E51" s="9"/>
      <c r="F51" s="9"/>
      <c r="G51" s="9"/>
    </row>
    <row r="52" spans="2:7" x14ac:dyDescent="0.2">
      <c r="B52" s="15" t="s">
        <v>53</v>
      </c>
      <c r="C52" s="9"/>
      <c r="D52" s="9"/>
      <c r="E52" s="9"/>
      <c r="F52" s="9"/>
      <c r="G52" s="9"/>
    </row>
    <row r="53" spans="2:7" x14ac:dyDescent="0.2">
      <c r="B53" s="2" t="s">
        <v>0</v>
      </c>
      <c r="C53" s="9"/>
      <c r="D53" s="9"/>
      <c r="E53" s="1">
        <v>7.4279999999999999</v>
      </c>
      <c r="F53" s="9"/>
      <c r="G53" s="9"/>
    </row>
    <row r="54" spans="2:7" x14ac:dyDescent="0.2">
      <c r="B54" s="2" t="s">
        <v>36</v>
      </c>
      <c r="C54" s="9"/>
      <c r="D54" s="9"/>
      <c r="E54" s="1">
        <v>2E-3</v>
      </c>
      <c r="F54" s="9"/>
      <c r="G54" s="9"/>
    </row>
    <row r="55" spans="2:7" x14ac:dyDescent="0.2">
      <c r="B55" s="2" t="s">
        <v>37</v>
      </c>
      <c r="C55" s="9"/>
      <c r="D55" s="9"/>
      <c r="E55" s="46" t="s">
        <v>11</v>
      </c>
      <c r="F55" s="16"/>
      <c r="G55" s="9"/>
    </row>
    <row r="56" spans="2:7" x14ac:dyDescent="0.2">
      <c r="B56" s="2" t="s">
        <v>54</v>
      </c>
      <c r="C56" s="9"/>
      <c r="D56" s="9"/>
      <c r="E56" s="46" t="s">
        <v>41</v>
      </c>
      <c r="F56" s="1"/>
      <c r="G56" s="9"/>
    </row>
    <row r="57" spans="2:7" x14ac:dyDescent="0.2">
      <c r="B57" s="2" t="s">
        <v>55</v>
      </c>
      <c r="C57" s="9"/>
      <c r="D57" s="9"/>
      <c r="E57" s="1">
        <v>0.66449999999999998</v>
      </c>
      <c r="F57" s="1"/>
      <c r="G57" s="9"/>
    </row>
    <row r="58" spans="2:7" x14ac:dyDescent="0.2">
      <c r="B58" s="9"/>
      <c r="C58" s="9"/>
      <c r="D58" s="9"/>
      <c r="E58" s="9"/>
      <c r="F58" s="9"/>
      <c r="G58" s="9"/>
    </row>
    <row r="59" spans="2:7" x14ac:dyDescent="0.2">
      <c r="B59" s="15" t="s">
        <v>44</v>
      </c>
      <c r="C59" s="9"/>
      <c r="D59" s="2"/>
      <c r="E59" s="1"/>
      <c r="F59" s="1"/>
      <c r="G59" s="9"/>
    </row>
    <row r="60" spans="2:7" x14ac:dyDescent="0.2">
      <c r="B60" s="9"/>
      <c r="C60" s="16" t="s">
        <v>45</v>
      </c>
      <c r="D60" s="16" t="s">
        <v>46</v>
      </c>
      <c r="E60" s="16" t="s">
        <v>47</v>
      </c>
      <c r="F60" s="16" t="s">
        <v>48</v>
      </c>
      <c r="G60" s="16" t="s">
        <v>5</v>
      </c>
    </row>
    <row r="61" spans="2:7" x14ac:dyDescent="0.2">
      <c r="B61" s="2" t="s">
        <v>30</v>
      </c>
      <c r="C61" s="1">
        <v>23.62</v>
      </c>
      <c r="D61" s="1" t="s">
        <v>154</v>
      </c>
      <c r="E61" s="1" t="s">
        <v>41</v>
      </c>
      <c r="F61" s="1" t="s">
        <v>11</v>
      </c>
      <c r="G61" s="1">
        <v>2E-3</v>
      </c>
    </row>
    <row r="62" spans="2:7" x14ac:dyDescent="0.2">
      <c r="B62" s="2" t="s">
        <v>6</v>
      </c>
      <c r="C62" s="1">
        <v>22.65</v>
      </c>
      <c r="D62" s="1" t="s">
        <v>155</v>
      </c>
      <c r="E62" s="1" t="s">
        <v>41</v>
      </c>
      <c r="F62" s="1" t="s">
        <v>11</v>
      </c>
      <c r="G62" s="1">
        <v>3.0000000000000001E-3</v>
      </c>
    </row>
    <row r="63" spans="2:7" x14ac:dyDescent="0.2">
      <c r="B63" s="2" t="s">
        <v>7</v>
      </c>
      <c r="C63" s="1">
        <v>23.96</v>
      </c>
      <c r="D63" s="1" t="s">
        <v>156</v>
      </c>
      <c r="E63" s="1" t="s">
        <v>41</v>
      </c>
      <c r="F63" s="1" t="s">
        <v>11</v>
      </c>
      <c r="G63" s="1">
        <v>2E-3</v>
      </c>
    </row>
    <row r="64" spans="2:7" x14ac:dyDescent="0.2">
      <c r="B64" s="2" t="s">
        <v>8</v>
      </c>
      <c r="C64" s="1">
        <v>21.56</v>
      </c>
      <c r="D64" s="1" t="s">
        <v>157</v>
      </c>
      <c r="E64" s="1" t="s">
        <v>41</v>
      </c>
      <c r="F64" s="1" t="s">
        <v>11</v>
      </c>
      <c r="G64" s="1">
        <v>4.0000000000000001E-3</v>
      </c>
    </row>
    <row r="67" spans="1:8" ht="18" x14ac:dyDescent="0.2">
      <c r="A67" s="14" t="s">
        <v>20</v>
      </c>
      <c r="B67" s="42"/>
      <c r="C67" s="42"/>
      <c r="D67" s="9"/>
      <c r="E67" s="9"/>
      <c r="F67" s="9"/>
      <c r="G67" s="9"/>
      <c r="H67" s="9"/>
    </row>
    <row r="68" spans="1:8" x14ac:dyDescent="0.2">
      <c r="A68" s="9"/>
      <c r="B68" s="9"/>
      <c r="C68" s="9"/>
      <c r="D68" s="9"/>
      <c r="E68" s="9"/>
      <c r="F68" s="9"/>
      <c r="G68" s="9"/>
      <c r="H68" s="9"/>
    </row>
    <row r="69" spans="1:8" x14ac:dyDescent="0.2">
      <c r="B69" s="36"/>
      <c r="C69" s="22" t="s">
        <v>1</v>
      </c>
      <c r="D69" s="22" t="s">
        <v>31</v>
      </c>
      <c r="E69" s="22" t="s">
        <v>2</v>
      </c>
      <c r="F69" s="22" t="s">
        <v>3</v>
      </c>
      <c r="G69" s="22" t="s">
        <v>4</v>
      </c>
    </row>
    <row r="70" spans="1:8" x14ac:dyDescent="0.2">
      <c r="A70" s="27"/>
      <c r="B70" s="10" t="s">
        <v>32</v>
      </c>
      <c r="C70" s="4">
        <v>1644.74704</v>
      </c>
      <c r="D70" s="4">
        <v>668.60551499999997</v>
      </c>
      <c r="E70" s="4">
        <v>415.16758600000003</v>
      </c>
      <c r="F70" s="4">
        <v>921.25070000000005</v>
      </c>
      <c r="G70" s="4">
        <v>2421.10511</v>
      </c>
    </row>
    <row r="71" spans="1:8" x14ac:dyDescent="0.2">
      <c r="A71" s="9"/>
      <c r="B71" s="10" t="s">
        <v>33</v>
      </c>
      <c r="C71" s="4">
        <v>3754.09645</v>
      </c>
      <c r="D71" s="4">
        <v>2328.1314499999999</v>
      </c>
      <c r="E71" s="4">
        <v>1828.6965700000001</v>
      </c>
      <c r="F71" s="4">
        <v>228.85658599999999</v>
      </c>
      <c r="G71" s="4">
        <v>1301.7168899999999</v>
      </c>
    </row>
    <row r="72" spans="1:8" x14ac:dyDescent="0.2">
      <c r="A72" s="9"/>
      <c r="B72" s="10" t="s">
        <v>34</v>
      </c>
      <c r="C72" s="4">
        <v>1920.4118100000001</v>
      </c>
      <c r="D72" s="4">
        <v>3160.2339299999999</v>
      </c>
      <c r="E72" s="4">
        <v>1493.8297299999999</v>
      </c>
      <c r="F72" s="4">
        <v>544.06925100000001</v>
      </c>
      <c r="G72" s="4">
        <v>336.51176400000003</v>
      </c>
    </row>
    <row r="73" spans="1:8" x14ac:dyDescent="0.2">
      <c r="A73" s="9"/>
      <c r="B73" s="10" t="s">
        <v>35</v>
      </c>
      <c r="C73" s="4">
        <v>826.85888599999998</v>
      </c>
      <c r="D73" s="4">
        <v>1049.4705300000001</v>
      </c>
      <c r="E73" s="4"/>
      <c r="F73" s="4"/>
      <c r="G73" s="4"/>
    </row>
    <row r="74" spans="1:8" x14ac:dyDescent="0.2">
      <c r="A74" s="9"/>
    </row>
    <row r="75" spans="1:8" x14ac:dyDescent="0.2">
      <c r="B75" s="17" t="s">
        <v>51</v>
      </c>
      <c r="C75" s="17">
        <f>AVERAGE(C70:C73)</f>
        <v>2036.5285465000002</v>
      </c>
      <c r="D75" s="17">
        <f>AVERAGE(D70:D73)</f>
        <v>1801.6103562500002</v>
      </c>
      <c r="E75" s="17">
        <f>AVERAGE(E70:E73)</f>
        <v>1245.897962</v>
      </c>
      <c r="F75" s="17">
        <f>AVERAGE(F70:F73)</f>
        <v>564.72551233333331</v>
      </c>
      <c r="G75" s="17">
        <f>AVERAGE(G70:G73)</f>
        <v>1353.1112546666666</v>
      </c>
    </row>
    <row r="76" spans="1:8" x14ac:dyDescent="0.2">
      <c r="B76" s="17" t="s">
        <v>13</v>
      </c>
      <c r="C76" s="17">
        <f>STDEV(C70:C73)</f>
        <v>1235.626161911224</v>
      </c>
      <c r="D76" s="17">
        <f>STDEV(D70:D73)</f>
        <v>1150.7239410968255</v>
      </c>
      <c r="E76" s="17">
        <f>STDEV(E70:E73)</f>
        <v>738.66004923761943</v>
      </c>
      <c r="F76" s="17">
        <f>STDEV(F70:F73)</f>
        <v>346.65892909986411</v>
      </c>
      <c r="G76" s="17">
        <f>STDEV(G70:G73)</f>
        <v>1043.246562460901</v>
      </c>
    </row>
    <row r="77" spans="1:8" x14ac:dyDescent="0.2">
      <c r="B77" s="17" t="s">
        <v>14</v>
      </c>
      <c r="C77" s="17">
        <f>C76/SQRT(4)</f>
        <v>617.81308095561201</v>
      </c>
      <c r="D77" s="17">
        <f>D76/SQRT(4)</f>
        <v>575.36197054841273</v>
      </c>
      <c r="E77" s="17">
        <f>E76/SQRT(3)</f>
        <v>426.46557826696181</v>
      </c>
      <c r="F77" s="17">
        <f>F76/SQRT(3)</f>
        <v>200.14362603279395</v>
      </c>
      <c r="G77" s="17">
        <f>G76/SQRT(3)</f>
        <v>602.318683667953</v>
      </c>
    </row>
    <row r="80" spans="1:8" ht="18" x14ac:dyDescent="0.2">
      <c r="B80" s="19" t="s">
        <v>52</v>
      </c>
      <c r="C80" s="20"/>
      <c r="D80" s="20"/>
      <c r="E80" s="20"/>
      <c r="F80" s="20"/>
      <c r="G80" s="20"/>
    </row>
    <row r="81" spans="2:7" x14ac:dyDescent="0.2">
      <c r="B81" s="9"/>
      <c r="C81" s="9"/>
      <c r="D81" s="9"/>
      <c r="E81" s="9"/>
      <c r="F81" s="9"/>
      <c r="G81" s="9"/>
    </row>
    <row r="82" spans="2:7" x14ac:dyDescent="0.2">
      <c r="B82" s="15" t="s">
        <v>53</v>
      </c>
      <c r="C82" s="9"/>
      <c r="D82" s="9"/>
      <c r="E82" s="9"/>
      <c r="F82" s="9"/>
      <c r="G82" s="9"/>
    </row>
    <row r="83" spans="2:7" x14ac:dyDescent="0.2">
      <c r="B83" s="2" t="s">
        <v>0</v>
      </c>
      <c r="C83" s="9"/>
      <c r="D83" s="9"/>
      <c r="E83" s="1">
        <v>1.0880000000000001</v>
      </c>
      <c r="F83" s="9"/>
      <c r="G83" s="9"/>
    </row>
    <row r="84" spans="2:7" x14ac:dyDescent="0.2">
      <c r="B84" s="2" t="s">
        <v>36</v>
      </c>
      <c r="C84" s="9"/>
      <c r="D84" s="9"/>
      <c r="E84" s="1">
        <v>0.40579999999999999</v>
      </c>
      <c r="F84" s="9"/>
      <c r="G84" s="9"/>
    </row>
    <row r="85" spans="2:7" x14ac:dyDescent="0.2">
      <c r="B85" s="2" t="s">
        <v>37</v>
      </c>
      <c r="C85" s="9"/>
      <c r="D85" s="9"/>
      <c r="E85" s="46" t="s">
        <v>9</v>
      </c>
      <c r="F85" s="16"/>
      <c r="G85" s="9"/>
    </row>
    <row r="86" spans="2:7" x14ac:dyDescent="0.2">
      <c r="B86" s="2" t="s">
        <v>54</v>
      </c>
      <c r="C86" s="9"/>
      <c r="D86" s="9"/>
      <c r="E86" s="46" t="s">
        <v>49</v>
      </c>
      <c r="F86" s="1"/>
      <c r="G86" s="9"/>
    </row>
    <row r="87" spans="2:7" x14ac:dyDescent="0.2">
      <c r="B87" s="2" t="s">
        <v>55</v>
      </c>
      <c r="C87" s="9"/>
      <c r="D87" s="9"/>
      <c r="E87" s="1">
        <v>0.2661</v>
      </c>
      <c r="F87" s="1"/>
      <c r="G87" s="9"/>
    </row>
    <row r="88" spans="2:7" x14ac:dyDescent="0.2">
      <c r="B88" s="9"/>
      <c r="C88" s="9"/>
      <c r="D88" s="9"/>
      <c r="E88" s="9"/>
      <c r="F88" s="9"/>
      <c r="G88" s="9"/>
    </row>
    <row r="89" spans="2:7" x14ac:dyDescent="0.2">
      <c r="B89" s="15" t="s">
        <v>44</v>
      </c>
      <c r="C89" s="9"/>
      <c r="D89" s="2"/>
      <c r="E89" s="1"/>
      <c r="F89" s="1"/>
      <c r="G89" s="9"/>
    </row>
    <row r="90" spans="2:7" x14ac:dyDescent="0.2">
      <c r="B90" s="9"/>
      <c r="C90" s="16" t="s">
        <v>45</v>
      </c>
      <c r="D90" s="16" t="s">
        <v>46</v>
      </c>
      <c r="E90" s="16" t="s">
        <v>47</v>
      </c>
      <c r="F90" s="16" t="s">
        <v>48</v>
      </c>
      <c r="G90" s="16" t="s">
        <v>5</v>
      </c>
    </row>
    <row r="91" spans="2:7" x14ac:dyDescent="0.2">
      <c r="B91" s="2" t="s">
        <v>30</v>
      </c>
      <c r="C91" s="1">
        <v>234.9</v>
      </c>
      <c r="D91" s="1" t="s">
        <v>158</v>
      </c>
      <c r="E91" s="1" t="s">
        <v>49</v>
      </c>
      <c r="F91" s="1" t="s">
        <v>9</v>
      </c>
      <c r="G91" s="1">
        <v>0.99209999999999998</v>
      </c>
    </row>
    <row r="92" spans="2:7" x14ac:dyDescent="0.2">
      <c r="B92" s="2" t="s">
        <v>6</v>
      </c>
      <c r="C92" s="1">
        <v>790.6</v>
      </c>
      <c r="D92" s="1" t="s">
        <v>159</v>
      </c>
      <c r="E92" s="1" t="s">
        <v>49</v>
      </c>
      <c r="F92" s="1" t="s">
        <v>9</v>
      </c>
      <c r="G92" s="1">
        <v>0.71040000000000003</v>
      </c>
    </row>
    <row r="93" spans="2:7" x14ac:dyDescent="0.2">
      <c r="B93" s="2" t="s">
        <v>7</v>
      </c>
      <c r="C93" s="1">
        <v>1472</v>
      </c>
      <c r="D93" s="1" t="s">
        <v>160</v>
      </c>
      <c r="E93" s="1" t="s">
        <v>49</v>
      </c>
      <c r="F93" s="1" t="s">
        <v>9</v>
      </c>
      <c r="G93" s="1">
        <v>0.22869999999999999</v>
      </c>
    </row>
    <row r="94" spans="2:7" x14ac:dyDescent="0.2">
      <c r="B94" s="2" t="s">
        <v>8</v>
      </c>
      <c r="C94" s="1">
        <v>683.4</v>
      </c>
      <c r="D94" s="1" t="s">
        <v>161</v>
      </c>
      <c r="E94" s="1" t="s">
        <v>49</v>
      </c>
      <c r="F94" s="1" t="s">
        <v>9</v>
      </c>
      <c r="G94" s="1">
        <v>0.79679999999999995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AG98"/>
  <sheetViews>
    <sheetView zoomScale="93" zoomScaleNormal="93" zoomScalePageLayoutView="93" workbookViewId="0">
      <selection activeCell="D3" sqref="D3"/>
    </sheetView>
  </sheetViews>
  <sheetFormatPr baseColWidth="10" defaultRowHeight="16" x14ac:dyDescent="0.2"/>
  <cols>
    <col min="1" max="1" width="17.1640625" customWidth="1"/>
    <col min="2" max="2" width="16.1640625" customWidth="1"/>
    <col min="3" max="3" width="12" customWidth="1"/>
    <col min="4" max="4" width="15.6640625" customWidth="1"/>
    <col min="5" max="5" width="12.1640625" customWidth="1"/>
    <col min="7" max="7" width="16.33203125" customWidth="1"/>
    <col min="10" max="10" width="16.6640625" customWidth="1"/>
    <col min="11" max="11" width="16.5" customWidth="1"/>
    <col min="12" max="12" width="11.6640625" customWidth="1"/>
    <col min="13" max="13" width="15.1640625" customWidth="1"/>
    <col min="14" max="14" width="13.1640625" customWidth="1"/>
    <col min="16" max="17" width="15.83203125" customWidth="1"/>
    <col min="23" max="23" width="11.5" customWidth="1"/>
    <col min="31" max="31" width="10.83203125" customWidth="1"/>
    <col min="32" max="32" width="11.33203125" customWidth="1"/>
  </cols>
  <sheetData>
    <row r="1" spans="1:33" x14ac:dyDescent="0.2">
      <c r="A1" s="9"/>
      <c r="B1" s="9"/>
      <c r="C1" s="9"/>
      <c r="D1" s="9"/>
      <c r="E1" s="9"/>
      <c r="F1" s="9"/>
    </row>
    <row r="2" spans="1:33" ht="18" x14ac:dyDescent="0.2">
      <c r="A2" s="53" t="s">
        <v>1177</v>
      </c>
      <c r="B2" s="8"/>
      <c r="C2" s="9"/>
      <c r="D2" s="9"/>
      <c r="E2" s="9"/>
      <c r="F2" s="9"/>
    </row>
    <row r="3" spans="1:33" ht="18" x14ac:dyDescent="0.2">
      <c r="A3" s="80"/>
      <c r="B3" s="42"/>
      <c r="C3" s="9"/>
      <c r="D3" s="9"/>
      <c r="E3" s="9"/>
      <c r="F3" s="9"/>
    </row>
    <row r="4" spans="1:33" ht="18" x14ac:dyDescent="0.2">
      <c r="A4" s="53" t="s">
        <v>597</v>
      </c>
      <c r="B4" s="8"/>
      <c r="C4" s="9"/>
      <c r="D4" s="9"/>
      <c r="E4" s="9"/>
      <c r="F4" s="9"/>
    </row>
    <row r="5" spans="1:33" s="66" customFormat="1" ht="18" x14ac:dyDescent="0.2">
      <c r="A5" s="80"/>
      <c r="B5" s="42"/>
      <c r="C5" s="42"/>
      <c r="D5" s="42"/>
      <c r="E5" s="42"/>
      <c r="F5" s="42"/>
    </row>
    <row r="6" spans="1:33" ht="18" x14ac:dyDescent="0.2">
      <c r="B6" s="14" t="s">
        <v>595</v>
      </c>
      <c r="C6" s="14"/>
      <c r="D6" s="14"/>
      <c r="E6" s="14"/>
      <c r="K6" s="14" t="s">
        <v>596</v>
      </c>
      <c r="L6" s="14"/>
      <c r="M6" s="14"/>
      <c r="N6" s="14"/>
      <c r="T6" s="56" t="s">
        <v>595</v>
      </c>
      <c r="U6" s="56"/>
      <c r="V6" s="56"/>
      <c r="W6" s="56"/>
      <c r="X6" s="56"/>
      <c r="AC6" s="56" t="s">
        <v>596</v>
      </c>
      <c r="AD6" s="56"/>
      <c r="AE6" s="56"/>
      <c r="AF6" s="56"/>
      <c r="AG6" s="57"/>
    </row>
    <row r="7" spans="1:33" x14ac:dyDescent="0.2">
      <c r="A7" s="9"/>
      <c r="B7" s="9"/>
      <c r="C7" s="9"/>
      <c r="D7" s="9"/>
      <c r="E7" s="9"/>
      <c r="F7" s="9"/>
      <c r="S7" s="9"/>
      <c r="T7" s="9"/>
      <c r="U7" s="9"/>
      <c r="V7" s="9"/>
      <c r="W7" s="9"/>
      <c r="X7" s="9"/>
    </row>
    <row r="8" spans="1:33" x14ac:dyDescent="0.2">
      <c r="A8" s="9"/>
      <c r="B8" s="9" t="s">
        <v>179</v>
      </c>
      <c r="C8" s="9"/>
      <c r="D8" s="9"/>
      <c r="E8" s="9"/>
      <c r="F8" s="9"/>
      <c r="K8" s="9" t="s">
        <v>179</v>
      </c>
      <c r="S8" s="9"/>
      <c r="T8" s="9" t="s">
        <v>180</v>
      </c>
      <c r="U8" s="9"/>
      <c r="V8" s="9"/>
      <c r="W8" s="9"/>
      <c r="X8" s="9"/>
      <c r="AC8" s="9" t="s">
        <v>180</v>
      </c>
    </row>
    <row r="9" spans="1:33" x14ac:dyDescent="0.2">
      <c r="A9" s="9"/>
      <c r="B9" s="58"/>
      <c r="D9" s="9"/>
      <c r="E9" s="9"/>
      <c r="S9" s="9"/>
      <c r="T9" s="58"/>
      <c r="V9" s="9"/>
      <c r="W9" s="9"/>
    </row>
    <row r="10" spans="1:33" x14ac:dyDescent="0.2">
      <c r="A10" s="9"/>
      <c r="B10" s="59" t="s">
        <v>181</v>
      </c>
      <c r="C10" s="60" t="s">
        <v>182</v>
      </c>
      <c r="D10" s="60" t="s">
        <v>183</v>
      </c>
      <c r="E10" s="60" t="s">
        <v>184</v>
      </c>
      <c r="F10" s="9"/>
      <c r="K10" s="59" t="s">
        <v>185</v>
      </c>
      <c r="L10" s="60" t="s">
        <v>182</v>
      </c>
      <c r="M10" s="60" t="s">
        <v>183</v>
      </c>
      <c r="N10" s="60" t="s">
        <v>184</v>
      </c>
      <c r="S10" s="9"/>
      <c r="T10" s="59" t="s">
        <v>181</v>
      </c>
      <c r="U10" s="60" t="s">
        <v>186</v>
      </c>
      <c r="V10" s="60" t="s">
        <v>187</v>
      </c>
      <c r="W10" s="60" t="s">
        <v>188</v>
      </c>
      <c r="X10" s="60" t="s">
        <v>234</v>
      </c>
      <c r="AC10" s="59" t="s">
        <v>185</v>
      </c>
      <c r="AD10" s="60" t="s">
        <v>186</v>
      </c>
      <c r="AE10" s="60" t="s">
        <v>187</v>
      </c>
      <c r="AF10" s="60" t="s">
        <v>188</v>
      </c>
      <c r="AG10" s="60" t="s">
        <v>234</v>
      </c>
    </row>
    <row r="11" spans="1:33" x14ac:dyDescent="0.2">
      <c r="A11" s="9"/>
      <c r="B11" s="61" t="s">
        <v>598</v>
      </c>
      <c r="C11" s="55">
        <f>U11/X11*100</f>
        <v>17.701863354037268</v>
      </c>
      <c r="D11" s="55">
        <f>V11/X11*100</f>
        <v>73.291925465838517</v>
      </c>
      <c r="E11" s="55">
        <f>W11/X11*100</f>
        <v>9.0062111801242235</v>
      </c>
      <c r="F11" s="9"/>
      <c r="G11" s="64"/>
      <c r="H11" s="64"/>
      <c r="I11" s="64"/>
      <c r="K11" s="61" t="s">
        <v>598</v>
      </c>
      <c r="L11" s="55">
        <f>AD11/AG11*100</f>
        <v>10.763888888888889</v>
      </c>
      <c r="M11" s="55">
        <f>AE11/AG11*100</f>
        <v>75.694444444444443</v>
      </c>
      <c r="N11" s="55">
        <f>AF11/AG11*100</f>
        <v>13.541666666666666</v>
      </c>
      <c r="S11" s="9"/>
      <c r="T11" s="61" t="s">
        <v>598</v>
      </c>
      <c r="U11" s="55">
        <v>57</v>
      </c>
      <c r="V11" s="55">
        <v>236</v>
      </c>
      <c r="W11" s="55">
        <v>29</v>
      </c>
      <c r="X11" s="17">
        <f>SUM(U11:W11)</f>
        <v>322</v>
      </c>
      <c r="AC11" s="61" t="s">
        <v>598</v>
      </c>
      <c r="AD11" s="55">
        <v>31</v>
      </c>
      <c r="AE11" s="55">
        <v>218</v>
      </c>
      <c r="AF11" s="55">
        <v>39</v>
      </c>
      <c r="AG11" s="17">
        <f>SUM(AD11:AF11)</f>
        <v>288</v>
      </c>
    </row>
    <row r="12" spans="1:33" x14ac:dyDescent="0.2">
      <c r="A12" s="9"/>
      <c r="B12" s="61" t="s">
        <v>599</v>
      </c>
      <c r="C12" s="55">
        <f t="shared" ref="C12:C15" si="0">U12/X12*100</f>
        <v>20.091324200913242</v>
      </c>
      <c r="D12" s="55">
        <f t="shared" ref="D12:D15" si="1">V12/X12*100</f>
        <v>52.968036529680361</v>
      </c>
      <c r="E12" s="55">
        <f t="shared" ref="E12:E15" si="2">W12/X12*100</f>
        <v>26.94063926940639</v>
      </c>
      <c r="F12" s="9"/>
      <c r="G12" s="64"/>
      <c r="H12" s="64"/>
      <c r="I12" s="64"/>
      <c r="K12" s="61" t="s">
        <v>599</v>
      </c>
      <c r="L12" s="55">
        <f t="shared" ref="L12:L16" si="3">AD12/AG12*100</f>
        <v>8.7272727272727284</v>
      </c>
      <c r="M12" s="55">
        <f t="shared" ref="M12:M16" si="4">AE12/AG12*100</f>
        <v>84</v>
      </c>
      <c r="N12" s="55">
        <f t="shared" ref="N12:N16" si="5">AF12/AG12*100</f>
        <v>7.2727272727272725</v>
      </c>
      <c r="S12" s="9"/>
      <c r="T12" s="61" t="s">
        <v>599</v>
      </c>
      <c r="U12" s="55">
        <v>44</v>
      </c>
      <c r="V12" s="55">
        <v>116</v>
      </c>
      <c r="W12" s="55">
        <v>59</v>
      </c>
      <c r="X12" s="17">
        <f t="shared" ref="X12:X15" si="6">SUM(U12:W12)</f>
        <v>219</v>
      </c>
      <c r="AC12" s="61" t="s">
        <v>599</v>
      </c>
      <c r="AD12" s="55">
        <v>24</v>
      </c>
      <c r="AE12" s="55">
        <v>231</v>
      </c>
      <c r="AF12" s="55">
        <v>20</v>
      </c>
      <c r="AG12" s="17">
        <f t="shared" ref="AG12:AG15" si="7">SUM(AD12:AF12)</f>
        <v>275</v>
      </c>
    </row>
    <row r="13" spans="1:33" x14ac:dyDescent="0.2">
      <c r="A13" s="9"/>
      <c r="B13" s="61" t="s">
        <v>600</v>
      </c>
      <c r="C13" s="55">
        <f t="shared" si="0"/>
        <v>17.543859649122805</v>
      </c>
      <c r="D13" s="55">
        <f t="shared" si="1"/>
        <v>48.421052631578945</v>
      </c>
      <c r="E13" s="55">
        <f t="shared" si="2"/>
        <v>34.035087719298247</v>
      </c>
      <c r="F13" s="9"/>
      <c r="G13" s="64"/>
      <c r="H13" s="64"/>
      <c r="I13" s="64"/>
      <c r="K13" s="61" t="s">
        <v>600</v>
      </c>
      <c r="L13" s="55">
        <f t="shared" si="3"/>
        <v>14.847161572052403</v>
      </c>
      <c r="M13" s="55">
        <f t="shared" si="4"/>
        <v>60.698689956331876</v>
      </c>
      <c r="N13" s="55">
        <f t="shared" si="5"/>
        <v>24.454148471615721</v>
      </c>
      <c r="S13" s="9"/>
      <c r="T13" s="61" t="s">
        <v>600</v>
      </c>
      <c r="U13" s="55">
        <v>50</v>
      </c>
      <c r="V13" s="55">
        <v>138</v>
      </c>
      <c r="W13" s="55">
        <v>97</v>
      </c>
      <c r="X13" s="17">
        <f t="shared" si="6"/>
        <v>285</v>
      </c>
      <c r="AC13" s="61" t="s">
        <v>600</v>
      </c>
      <c r="AD13" s="55">
        <v>34</v>
      </c>
      <c r="AE13" s="55">
        <v>139</v>
      </c>
      <c r="AF13" s="55">
        <v>56</v>
      </c>
      <c r="AG13" s="17">
        <f t="shared" si="7"/>
        <v>229</v>
      </c>
    </row>
    <row r="14" spans="1:33" x14ac:dyDescent="0.2">
      <c r="A14" s="9"/>
      <c r="B14" s="61" t="s">
        <v>601</v>
      </c>
      <c r="C14" s="55">
        <f t="shared" si="0"/>
        <v>24.555160142348754</v>
      </c>
      <c r="D14" s="55">
        <f t="shared" si="1"/>
        <v>67.97153024911033</v>
      </c>
      <c r="E14" s="55">
        <f t="shared" si="2"/>
        <v>7.4733096085409247</v>
      </c>
      <c r="F14" s="9"/>
      <c r="G14" s="64"/>
      <c r="H14" s="64"/>
      <c r="I14" s="64"/>
      <c r="K14" s="61" t="s">
        <v>601</v>
      </c>
      <c r="L14" s="55">
        <f t="shared" si="3"/>
        <v>16.568047337278109</v>
      </c>
      <c r="M14" s="55">
        <f t="shared" si="4"/>
        <v>74.556213017751489</v>
      </c>
      <c r="N14" s="55">
        <f t="shared" si="5"/>
        <v>8.8757396449704142</v>
      </c>
      <c r="S14" s="9"/>
      <c r="T14" s="61" t="s">
        <v>601</v>
      </c>
      <c r="U14" s="55">
        <v>69</v>
      </c>
      <c r="V14" s="55">
        <v>191</v>
      </c>
      <c r="W14" s="55">
        <v>21</v>
      </c>
      <c r="X14" s="17">
        <f t="shared" si="6"/>
        <v>281</v>
      </c>
      <c r="AC14" s="61" t="s">
        <v>601</v>
      </c>
      <c r="AD14" s="55">
        <v>28</v>
      </c>
      <c r="AE14" s="55">
        <v>126</v>
      </c>
      <c r="AF14" s="55">
        <v>15</v>
      </c>
      <c r="AG14" s="17">
        <f t="shared" si="7"/>
        <v>169</v>
      </c>
    </row>
    <row r="15" spans="1:33" ht="15.75" customHeight="1" x14ac:dyDescent="0.2">
      <c r="A15" s="9"/>
      <c r="B15" s="61" t="s">
        <v>602</v>
      </c>
      <c r="C15" s="55">
        <f t="shared" si="0"/>
        <v>21.285140562248998</v>
      </c>
      <c r="D15" s="55">
        <f t="shared" si="1"/>
        <v>73.493975903614455</v>
      </c>
      <c r="E15" s="55">
        <f t="shared" si="2"/>
        <v>5.2208835341365463</v>
      </c>
      <c r="F15" s="9"/>
      <c r="G15" s="64"/>
      <c r="H15" s="64"/>
      <c r="I15" s="64"/>
      <c r="K15" s="61" t="s">
        <v>602</v>
      </c>
      <c r="L15" s="55">
        <f t="shared" si="3"/>
        <v>12.605042016806722</v>
      </c>
      <c r="M15" s="55">
        <f t="shared" si="4"/>
        <v>85.714285714285708</v>
      </c>
      <c r="N15" s="55">
        <f t="shared" si="5"/>
        <v>1.680672268907563</v>
      </c>
      <c r="S15" s="9"/>
      <c r="T15" s="61" t="s">
        <v>602</v>
      </c>
      <c r="U15" s="55">
        <v>53</v>
      </c>
      <c r="V15" s="55">
        <v>183</v>
      </c>
      <c r="W15" s="55">
        <v>13</v>
      </c>
      <c r="X15" s="17">
        <f t="shared" si="6"/>
        <v>249</v>
      </c>
      <c r="AC15" s="61" t="s">
        <v>602</v>
      </c>
      <c r="AD15" s="55">
        <v>30</v>
      </c>
      <c r="AE15" s="55">
        <v>204</v>
      </c>
      <c r="AF15" s="55">
        <v>4</v>
      </c>
      <c r="AG15" s="17">
        <f t="shared" si="7"/>
        <v>238</v>
      </c>
    </row>
    <row r="16" spans="1:33" ht="15.75" customHeight="1" x14ac:dyDescent="0.2">
      <c r="A16" s="9"/>
      <c r="B16" s="63"/>
      <c r="C16" s="65"/>
      <c r="D16" s="64"/>
      <c r="E16" s="64"/>
      <c r="F16" s="9"/>
      <c r="G16" s="78"/>
      <c r="H16" s="78"/>
      <c r="I16" s="78"/>
      <c r="K16" s="61" t="s">
        <v>603</v>
      </c>
      <c r="L16" s="55">
        <f t="shared" si="3"/>
        <v>10.869565217391305</v>
      </c>
      <c r="M16" s="55">
        <f t="shared" si="4"/>
        <v>80.072463768115938</v>
      </c>
      <c r="N16" s="55">
        <f t="shared" si="5"/>
        <v>9.0579710144927539</v>
      </c>
      <c r="S16" s="9"/>
      <c r="T16" s="63"/>
      <c r="U16" s="64"/>
      <c r="V16" s="64"/>
      <c r="W16" s="64"/>
      <c r="X16" s="9"/>
      <c r="AC16" s="61" t="s">
        <v>603</v>
      </c>
      <c r="AD16" s="55">
        <v>30</v>
      </c>
      <c r="AE16" s="55">
        <v>221</v>
      </c>
      <c r="AF16" s="55">
        <v>25</v>
      </c>
      <c r="AG16" s="17">
        <f>SUM(AD16:AF16)</f>
        <v>276</v>
      </c>
    </row>
    <row r="17" spans="1:33" ht="15.75" customHeight="1" x14ac:dyDescent="0.2">
      <c r="A17" s="9"/>
      <c r="B17" s="63"/>
      <c r="C17" s="65"/>
      <c r="D17" s="64"/>
      <c r="E17" s="64"/>
      <c r="F17" s="9"/>
      <c r="G17" s="78"/>
      <c r="H17" s="78"/>
      <c r="I17" s="78"/>
      <c r="K17" s="9"/>
      <c r="L17" s="9"/>
      <c r="M17" s="9"/>
      <c r="N17" s="9"/>
      <c r="S17" s="9"/>
      <c r="T17" s="63"/>
      <c r="U17" s="64"/>
      <c r="V17" s="64"/>
      <c r="W17" s="64"/>
      <c r="X17" s="9"/>
    </row>
    <row r="18" spans="1:33" x14ac:dyDescent="0.2">
      <c r="A18" s="9"/>
      <c r="B18" s="59" t="s">
        <v>181</v>
      </c>
      <c r="C18" s="60" t="s">
        <v>182</v>
      </c>
      <c r="D18" s="60" t="s">
        <v>183</v>
      </c>
      <c r="E18" s="60" t="s">
        <v>184</v>
      </c>
      <c r="F18" s="9"/>
      <c r="G18" s="78"/>
      <c r="H18" s="78"/>
      <c r="I18" s="78"/>
      <c r="K18" s="59" t="s">
        <v>185</v>
      </c>
      <c r="L18" s="60" t="s">
        <v>182</v>
      </c>
      <c r="M18" s="60" t="s">
        <v>183</v>
      </c>
      <c r="N18" s="60" t="s">
        <v>184</v>
      </c>
      <c r="S18" s="9"/>
      <c r="T18" s="59" t="s">
        <v>181</v>
      </c>
      <c r="U18" s="60" t="s">
        <v>186</v>
      </c>
      <c r="V18" s="60" t="s">
        <v>187</v>
      </c>
      <c r="W18" s="60" t="s">
        <v>188</v>
      </c>
      <c r="X18" s="60" t="s">
        <v>234</v>
      </c>
      <c r="AC18" s="59" t="s">
        <v>185</v>
      </c>
      <c r="AD18" s="60" t="s">
        <v>186</v>
      </c>
      <c r="AE18" s="60" t="s">
        <v>187</v>
      </c>
      <c r="AF18" s="60" t="s">
        <v>188</v>
      </c>
      <c r="AG18" s="60" t="s">
        <v>234</v>
      </c>
    </row>
    <row r="19" spans="1:33" x14ac:dyDescent="0.2">
      <c r="A19" s="9"/>
      <c r="B19" s="59" t="s">
        <v>194</v>
      </c>
      <c r="C19" s="55">
        <f t="shared" ref="C19:C21" si="8">U19/X19*100</f>
        <v>83.886255924170612</v>
      </c>
      <c r="D19" s="55">
        <f t="shared" ref="D19:D21" si="9">V19/X19*100</f>
        <v>9.9526066350710902</v>
      </c>
      <c r="E19" s="55">
        <f t="shared" ref="E19:E21" si="10">W19/X19*100</f>
        <v>6.1611374407582939</v>
      </c>
      <c r="F19" s="9"/>
      <c r="G19" s="64"/>
      <c r="H19" s="64"/>
      <c r="I19" s="64"/>
      <c r="K19" s="59" t="s">
        <v>194</v>
      </c>
      <c r="L19" s="55">
        <f t="shared" ref="L19:L21" si="11">AD19/AG19*100</f>
        <v>61.993769470404978</v>
      </c>
      <c r="M19" s="55">
        <f t="shared" ref="M19:M21" si="12">AE19/AG19*100</f>
        <v>33.333333333333329</v>
      </c>
      <c r="N19" s="55">
        <f t="shared" ref="N19:N21" si="13">AF19/AG19*100</f>
        <v>4.6728971962616823</v>
      </c>
      <c r="S19" s="9"/>
      <c r="T19" s="59" t="s">
        <v>194</v>
      </c>
      <c r="U19" s="55">
        <v>177</v>
      </c>
      <c r="V19" s="55">
        <v>21</v>
      </c>
      <c r="W19" s="55">
        <v>13</v>
      </c>
      <c r="X19" s="17">
        <f t="shared" ref="X19:X21" si="14">SUM(U19:W19)</f>
        <v>211</v>
      </c>
      <c r="AC19" s="59" t="s">
        <v>194</v>
      </c>
      <c r="AD19" s="55">
        <v>199</v>
      </c>
      <c r="AE19" s="55">
        <v>107</v>
      </c>
      <c r="AF19" s="55">
        <v>15</v>
      </c>
      <c r="AG19" s="17">
        <f t="shared" ref="AG19:AG21" si="15">SUM(AD19:AF19)</f>
        <v>321</v>
      </c>
    </row>
    <row r="20" spans="1:33" x14ac:dyDescent="0.2">
      <c r="A20" s="9"/>
      <c r="B20" s="59" t="s">
        <v>195</v>
      </c>
      <c r="C20" s="55">
        <f t="shared" si="8"/>
        <v>68.778280542986423</v>
      </c>
      <c r="D20" s="55">
        <f t="shared" si="9"/>
        <v>19.909502262443439</v>
      </c>
      <c r="E20" s="55">
        <f t="shared" si="10"/>
        <v>11.312217194570136</v>
      </c>
      <c r="F20" s="9"/>
      <c r="G20" s="64"/>
      <c r="H20" s="64"/>
      <c r="I20" s="64"/>
      <c r="K20" s="59" t="s">
        <v>195</v>
      </c>
      <c r="L20" s="55">
        <f t="shared" si="11"/>
        <v>64.111498257839713</v>
      </c>
      <c r="M20" s="55">
        <f t="shared" si="12"/>
        <v>15.331010452961671</v>
      </c>
      <c r="N20" s="55">
        <f t="shared" si="13"/>
        <v>20.557491289198605</v>
      </c>
      <c r="S20" s="9"/>
      <c r="T20" s="59" t="s">
        <v>195</v>
      </c>
      <c r="U20" s="55">
        <v>152</v>
      </c>
      <c r="V20" s="55">
        <v>44</v>
      </c>
      <c r="W20" s="55">
        <v>25</v>
      </c>
      <c r="X20" s="17">
        <f t="shared" si="14"/>
        <v>221</v>
      </c>
      <c r="AC20" s="59" t="s">
        <v>195</v>
      </c>
      <c r="AD20" s="55">
        <v>184</v>
      </c>
      <c r="AE20" s="55">
        <v>44</v>
      </c>
      <c r="AF20" s="55">
        <v>59</v>
      </c>
      <c r="AG20" s="17">
        <f t="shared" si="15"/>
        <v>287</v>
      </c>
    </row>
    <row r="21" spans="1:33" x14ac:dyDescent="0.2">
      <c r="B21" s="59" t="s">
        <v>196</v>
      </c>
      <c r="C21" s="55">
        <f t="shared" si="8"/>
        <v>88.855421686746979</v>
      </c>
      <c r="D21" s="55">
        <f t="shared" si="9"/>
        <v>4.8192771084337354</v>
      </c>
      <c r="E21" s="55">
        <f t="shared" si="10"/>
        <v>6.3253012048192767</v>
      </c>
      <c r="F21" s="9"/>
      <c r="G21" s="64"/>
      <c r="H21" s="64"/>
      <c r="I21" s="64"/>
      <c r="K21" s="59" t="s">
        <v>196</v>
      </c>
      <c r="L21" s="55">
        <f t="shared" si="11"/>
        <v>89.237668161434982</v>
      </c>
      <c r="M21" s="55">
        <f t="shared" si="12"/>
        <v>6.7264573991031389</v>
      </c>
      <c r="N21" s="55">
        <f t="shared" si="13"/>
        <v>4.0358744394618835</v>
      </c>
      <c r="T21" s="59" t="s">
        <v>196</v>
      </c>
      <c r="U21" s="55">
        <v>295</v>
      </c>
      <c r="V21" s="55">
        <v>16</v>
      </c>
      <c r="W21" s="55">
        <v>21</v>
      </c>
      <c r="X21" s="17">
        <f t="shared" si="14"/>
        <v>332</v>
      </c>
      <c r="AC21" s="59" t="s">
        <v>196</v>
      </c>
      <c r="AD21" s="55">
        <v>199</v>
      </c>
      <c r="AE21" s="55">
        <v>15</v>
      </c>
      <c r="AF21" s="55">
        <v>9</v>
      </c>
      <c r="AG21" s="17">
        <f t="shared" si="15"/>
        <v>223</v>
      </c>
    </row>
    <row r="22" spans="1:33" x14ac:dyDescent="0.2">
      <c r="B22" s="9"/>
      <c r="C22" s="9"/>
      <c r="D22" s="9"/>
      <c r="E22" s="9"/>
      <c r="F22" s="9"/>
      <c r="G22" s="68"/>
      <c r="H22" s="68"/>
      <c r="I22" s="68"/>
      <c r="K22" s="9"/>
      <c r="L22" s="9"/>
      <c r="M22" s="9"/>
      <c r="N22" s="9"/>
      <c r="T22" s="21"/>
      <c r="U22" s="64"/>
      <c r="V22" s="64"/>
      <c r="W22" s="64"/>
      <c r="X22" s="9"/>
      <c r="AC22" s="21"/>
      <c r="AD22" s="64"/>
      <c r="AE22" s="64"/>
      <c r="AF22" s="64"/>
    </row>
    <row r="23" spans="1:33" x14ac:dyDescent="0.2">
      <c r="B23" s="59" t="s">
        <v>181</v>
      </c>
      <c r="C23" s="60" t="s">
        <v>182</v>
      </c>
      <c r="D23" s="60" t="s">
        <v>183</v>
      </c>
      <c r="E23" s="60" t="s">
        <v>184</v>
      </c>
      <c r="F23" s="9"/>
      <c r="G23" s="68"/>
      <c r="H23" s="68"/>
      <c r="I23" s="68"/>
      <c r="K23" s="59" t="s">
        <v>185</v>
      </c>
      <c r="L23" s="60" t="s">
        <v>182</v>
      </c>
      <c r="M23" s="60" t="s">
        <v>183</v>
      </c>
      <c r="N23" s="60" t="s">
        <v>184</v>
      </c>
      <c r="T23" s="59" t="s">
        <v>181</v>
      </c>
      <c r="U23" s="60" t="s">
        <v>186</v>
      </c>
      <c r="V23" s="60" t="s">
        <v>187</v>
      </c>
      <c r="W23" s="60" t="s">
        <v>188</v>
      </c>
      <c r="X23" s="60" t="s">
        <v>234</v>
      </c>
      <c r="AC23" s="59" t="s">
        <v>185</v>
      </c>
      <c r="AD23" s="60" t="s">
        <v>186</v>
      </c>
      <c r="AE23" s="60" t="s">
        <v>187</v>
      </c>
      <c r="AF23" s="60" t="s">
        <v>188</v>
      </c>
      <c r="AG23" s="60" t="s">
        <v>234</v>
      </c>
    </row>
    <row r="24" spans="1:33" x14ac:dyDescent="0.2">
      <c r="B24" s="59" t="s">
        <v>197</v>
      </c>
      <c r="C24" s="55">
        <f t="shared" ref="C24:C26" si="16">U24/X24*100</f>
        <v>17.647058823529413</v>
      </c>
      <c r="D24" s="55">
        <f t="shared" ref="D24:D26" si="17">V24/X24*100</f>
        <v>18.907563025210084</v>
      </c>
      <c r="E24" s="55">
        <f t="shared" ref="E24:E26" si="18">W24/X24*100</f>
        <v>63.445378151260499</v>
      </c>
      <c r="F24" s="9"/>
      <c r="G24" s="64"/>
      <c r="H24" s="64"/>
      <c r="I24" s="64"/>
      <c r="K24" s="59" t="s">
        <v>197</v>
      </c>
      <c r="L24" s="55">
        <f t="shared" ref="L24:L26" si="19">AD24/AG24*100</f>
        <v>24.806201550387598</v>
      </c>
      <c r="M24" s="55">
        <f t="shared" ref="M24:M26" si="20">AE24/AG24*100</f>
        <v>21.705426356589147</v>
      </c>
      <c r="N24" s="55">
        <f t="shared" ref="N24:N26" si="21">AF24/AG24*100</f>
        <v>53.488372093023251</v>
      </c>
      <c r="T24" s="59" t="s">
        <v>197</v>
      </c>
      <c r="U24" s="55">
        <v>42</v>
      </c>
      <c r="V24" s="55">
        <v>45</v>
      </c>
      <c r="W24" s="55">
        <v>151</v>
      </c>
      <c r="X24" s="17">
        <f t="shared" ref="X24:X26" si="22">SUM(U24:W24)</f>
        <v>238</v>
      </c>
      <c r="AC24" s="59" t="s">
        <v>197</v>
      </c>
      <c r="AD24" s="55">
        <v>64</v>
      </c>
      <c r="AE24" s="55">
        <v>56</v>
      </c>
      <c r="AF24" s="55">
        <v>138</v>
      </c>
      <c r="AG24" s="17">
        <f t="shared" ref="AG24:AG26" si="23">SUM(AD24:AF24)</f>
        <v>258</v>
      </c>
    </row>
    <row r="25" spans="1:33" x14ac:dyDescent="0.2">
      <c r="B25" s="59" t="s">
        <v>198</v>
      </c>
      <c r="C25" s="55">
        <f t="shared" si="16"/>
        <v>29.186602870813399</v>
      </c>
      <c r="D25" s="55">
        <f t="shared" si="17"/>
        <v>22.488038277511961</v>
      </c>
      <c r="E25" s="55">
        <f t="shared" si="18"/>
        <v>48.325358851674643</v>
      </c>
      <c r="F25" s="9"/>
      <c r="G25" s="64"/>
      <c r="H25" s="64"/>
      <c r="I25" s="64"/>
      <c r="K25" s="59" t="s">
        <v>198</v>
      </c>
      <c r="L25" s="55">
        <f t="shared" si="19"/>
        <v>20.73170731707317</v>
      </c>
      <c r="M25" s="55">
        <f t="shared" si="20"/>
        <v>18.699186991869919</v>
      </c>
      <c r="N25" s="55">
        <f t="shared" si="21"/>
        <v>60.569105691056912</v>
      </c>
      <c r="T25" s="59" t="s">
        <v>198</v>
      </c>
      <c r="U25" s="55">
        <v>61</v>
      </c>
      <c r="V25" s="55">
        <v>47</v>
      </c>
      <c r="W25" s="55">
        <v>101</v>
      </c>
      <c r="X25" s="17">
        <f t="shared" si="22"/>
        <v>209</v>
      </c>
      <c r="AC25" s="59" t="s">
        <v>198</v>
      </c>
      <c r="AD25" s="55">
        <v>51</v>
      </c>
      <c r="AE25" s="55">
        <v>46</v>
      </c>
      <c r="AF25" s="55">
        <v>149</v>
      </c>
      <c r="AG25" s="17">
        <f t="shared" si="23"/>
        <v>246</v>
      </c>
    </row>
    <row r="26" spans="1:33" x14ac:dyDescent="0.2">
      <c r="B26" s="59" t="s">
        <v>199</v>
      </c>
      <c r="C26" s="55">
        <f t="shared" si="16"/>
        <v>21.232876712328768</v>
      </c>
      <c r="D26" s="55">
        <f t="shared" si="17"/>
        <v>29.452054794520549</v>
      </c>
      <c r="E26" s="55">
        <f t="shared" si="18"/>
        <v>49.315068493150683</v>
      </c>
      <c r="F26" s="9"/>
      <c r="G26" s="64"/>
      <c r="H26" s="64"/>
      <c r="I26" s="64"/>
      <c r="K26" s="59" t="s">
        <v>199</v>
      </c>
      <c r="L26" s="55">
        <f t="shared" si="19"/>
        <v>12.63537906137184</v>
      </c>
      <c r="M26" s="55">
        <f t="shared" si="20"/>
        <v>26.714801444043324</v>
      </c>
      <c r="N26" s="55">
        <f t="shared" si="21"/>
        <v>60.649819494584833</v>
      </c>
      <c r="T26" s="59" t="s">
        <v>199</v>
      </c>
      <c r="U26" s="55">
        <v>62</v>
      </c>
      <c r="V26" s="55">
        <v>86</v>
      </c>
      <c r="W26" s="55">
        <v>144</v>
      </c>
      <c r="X26" s="17">
        <f t="shared" si="22"/>
        <v>292</v>
      </c>
      <c r="AC26" s="59" t="s">
        <v>199</v>
      </c>
      <c r="AD26" s="55">
        <v>35</v>
      </c>
      <c r="AE26" s="55">
        <v>74</v>
      </c>
      <c r="AF26" s="55">
        <v>168</v>
      </c>
      <c r="AG26" s="17">
        <f t="shared" si="23"/>
        <v>277</v>
      </c>
    </row>
    <row r="27" spans="1:33" x14ac:dyDescent="0.2">
      <c r="B27" s="9"/>
      <c r="C27" s="9"/>
      <c r="D27" s="9"/>
      <c r="E27" s="9"/>
      <c r="F27" s="9"/>
      <c r="G27" s="68"/>
      <c r="H27" s="68"/>
      <c r="I27" s="68"/>
      <c r="K27" s="9"/>
      <c r="L27" s="9"/>
      <c r="M27" s="9"/>
      <c r="N27" s="9"/>
      <c r="T27" s="21"/>
      <c r="U27" s="64"/>
      <c r="V27" s="64"/>
      <c r="W27" s="64"/>
      <c r="X27" s="9"/>
      <c r="AC27" s="21"/>
      <c r="AD27" s="64"/>
      <c r="AE27" s="64"/>
      <c r="AF27" s="64"/>
    </row>
    <row r="28" spans="1:33" x14ac:dyDescent="0.2">
      <c r="B28" s="59" t="s">
        <v>181</v>
      </c>
      <c r="C28" s="60" t="s">
        <v>182</v>
      </c>
      <c r="D28" s="60" t="s">
        <v>183</v>
      </c>
      <c r="E28" s="60" t="s">
        <v>184</v>
      </c>
      <c r="F28" s="9"/>
      <c r="G28" s="68"/>
      <c r="H28" s="68"/>
      <c r="I28" s="68"/>
      <c r="K28" s="59" t="s">
        <v>185</v>
      </c>
      <c r="L28" s="60" t="s">
        <v>182</v>
      </c>
      <c r="M28" s="60" t="s">
        <v>183</v>
      </c>
      <c r="N28" s="60" t="s">
        <v>184</v>
      </c>
      <c r="T28" s="59" t="s">
        <v>181</v>
      </c>
      <c r="U28" s="60" t="s">
        <v>186</v>
      </c>
      <c r="V28" s="60" t="s">
        <v>187</v>
      </c>
      <c r="W28" s="60" t="s">
        <v>188</v>
      </c>
      <c r="X28" s="60" t="s">
        <v>234</v>
      </c>
      <c r="AC28" s="59" t="s">
        <v>185</v>
      </c>
      <c r="AD28" s="60" t="s">
        <v>186</v>
      </c>
      <c r="AE28" s="60" t="s">
        <v>187</v>
      </c>
      <c r="AF28" s="60" t="s">
        <v>188</v>
      </c>
      <c r="AG28" s="60" t="s">
        <v>234</v>
      </c>
    </row>
    <row r="29" spans="1:33" x14ac:dyDescent="0.2">
      <c r="B29" s="59" t="s">
        <v>200</v>
      </c>
      <c r="C29" s="55">
        <f t="shared" ref="C29:C31" si="24">U29/X29*100</f>
        <v>22.222222222222221</v>
      </c>
      <c r="D29" s="55">
        <f t="shared" ref="D29:D31" si="25">V29/X29*100</f>
        <v>17.571059431524546</v>
      </c>
      <c r="E29" s="55">
        <f t="shared" ref="E29:E31" si="26">W29/X29*100</f>
        <v>60.206718346253233</v>
      </c>
      <c r="F29" s="9"/>
      <c r="G29" s="64"/>
      <c r="H29" s="64"/>
      <c r="I29" s="64"/>
      <c r="K29" s="59" t="s">
        <v>200</v>
      </c>
      <c r="L29" s="55">
        <f t="shared" ref="L29:L31" si="27">AD29/AG29*100</f>
        <v>14.444444444444443</v>
      </c>
      <c r="M29" s="55">
        <f t="shared" ref="M29:M31" si="28">AE29/AG29*100</f>
        <v>26.296296296296294</v>
      </c>
      <c r="N29" s="55">
        <f t="shared" ref="N29:N31" si="29">AF29/AG29*100</f>
        <v>59.259259259259252</v>
      </c>
      <c r="T29" s="59" t="s">
        <v>200</v>
      </c>
      <c r="U29" s="55">
        <v>86</v>
      </c>
      <c r="V29" s="55">
        <v>68</v>
      </c>
      <c r="W29" s="55">
        <v>233</v>
      </c>
      <c r="X29" s="17">
        <f t="shared" ref="X29:X31" si="30">SUM(U29:W29)</f>
        <v>387</v>
      </c>
      <c r="AC29" s="59" t="s">
        <v>200</v>
      </c>
      <c r="AD29" s="55">
        <v>39</v>
      </c>
      <c r="AE29" s="55">
        <v>71</v>
      </c>
      <c r="AF29" s="55">
        <v>160</v>
      </c>
      <c r="AG29" s="17">
        <f t="shared" ref="AG29:AG31" si="31">SUM(AD29:AF29)</f>
        <v>270</v>
      </c>
    </row>
    <row r="30" spans="1:33" x14ac:dyDescent="0.2">
      <c r="B30" s="59" t="s">
        <v>201</v>
      </c>
      <c r="C30" s="55">
        <f t="shared" si="24"/>
        <v>29.694323144104807</v>
      </c>
      <c r="D30" s="55">
        <f t="shared" si="25"/>
        <v>17.903930131004365</v>
      </c>
      <c r="E30" s="55">
        <f t="shared" si="26"/>
        <v>52.401746724890828</v>
      </c>
      <c r="F30" s="9"/>
      <c r="G30" s="64"/>
      <c r="H30" s="64"/>
      <c r="I30" s="64"/>
      <c r="K30" s="59" t="s">
        <v>201</v>
      </c>
      <c r="L30" s="55">
        <f t="shared" si="27"/>
        <v>19.548872180451127</v>
      </c>
      <c r="M30" s="55">
        <f t="shared" si="28"/>
        <v>27.819548872180448</v>
      </c>
      <c r="N30" s="55">
        <f t="shared" si="29"/>
        <v>52.631578947368418</v>
      </c>
      <c r="O30" s="66"/>
      <c r="P30" s="66"/>
      <c r="Q30" s="66"/>
      <c r="R30" s="66"/>
      <c r="T30" s="59" t="s">
        <v>201</v>
      </c>
      <c r="U30" s="55">
        <v>68</v>
      </c>
      <c r="V30" s="55">
        <v>41</v>
      </c>
      <c r="W30" s="55">
        <v>120</v>
      </c>
      <c r="X30" s="17">
        <f t="shared" si="30"/>
        <v>229</v>
      </c>
      <c r="AC30" s="59" t="s">
        <v>201</v>
      </c>
      <c r="AD30" s="55">
        <v>52</v>
      </c>
      <c r="AE30" s="55">
        <v>74</v>
      </c>
      <c r="AF30" s="55">
        <v>140</v>
      </c>
      <c r="AG30" s="17">
        <f t="shared" si="31"/>
        <v>266</v>
      </c>
    </row>
    <row r="31" spans="1:33" x14ac:dyDescent="0.2">
      <c r="B31" s="59" t="s">
        <v>202</v>
      </c>
      <c r="C31" s="55">
        <f t="shared" si="24"/>
        <v>55.000000000000007</v>
      </c>
      <c r="D31" s="55">
        <f t="shared" si="25"/>
        <v>12.692307692307692</v>
      </c>
      <c r="E31" s="55">
        <f t="shared" si="26"/>
        <v>32.307692307692307</v>
      </c>
      <c r="F31" s="9"/>
      <c r="G31" s="64"/>
      <c r="H31" s="64"/>
      <c r="I31" s="64"/>
      <c r="K31" s="59" t="s">
        <v>202</v>
      </c>
      <c r="L31" s="55">
        <f t="shared" si="27"/>
        <v>12.820512820512819</v>
      </c>
      <c r="M31" s="55">
        <f t="shared" si="28"/>
        <v>14.743589743589745</v>
      </c>
      <c r="N31" s="55">
        <f t="shared" si="29"/>
        <v>72.435897435897431</v>
      </c>
      <c r="O31" s="66"/>
      <c r="P31" s="66"/>
      <c r="Q31" s="66"/>
      <c r="R31" s="66"/>
      <c r="T31" s="59" t="s">
        <v>202</v>
      </c>
      <c r="U31" s="55">
        <v>143</v>
      </c>
      <c r="V31" s="55">
        <v>33</v>
      </c>
      <c r="W31" s="55">
        <v>84</v>
      </c>
      <c r="X31" s="17">
        <f t="shared" si="30"/>
        <v>260</v>
      </c>
      <c r="AC31" s="59" t="s">
        <v>202</v>
      </c>
      <c r="AD31" s="55">
        <v>40</v>
      </c>
      <c r="AE31" s="55">
        <v>46</v>
      </c>
      <c r="AF31" s="55">
        <v>226</v>
      </c>
      <c r="AG31" s="17">
        <f t="shared" si="31"/>
        <v>312</v>
      </c>
    </row>
    <row r="32" spans="1:33" x14ac:dyDescent="0.2">
      <c r="B32" s="9"/>
      <c r="C32" s="9"/>
      <c r="D32" s="9"/>
      <c r="E32" s="9"/>
      <c r="F32" s="9"/>
      <c r="G32" s="78"/>
      <c r="H32" s="78"/>
      <c r="I32" s="78"/>
      <c r="K32" s="9"/>
      <c r="L32" s="9"/>
      <c r="M32" s="9"/>
      <c r="N32" s="9"/>
      <c r="O32" s="66"/>
      <c r="P32" s="66"/>
      <c r="Q32" s="66"/>
      <c r="R32" s="66"/>
      <c r="T32" s="21"/>
      <c r="U32" s="64"/>
      <c r="V32" s="64"/>
      <c r="W32" s="64"/>
      <c r="X32" s="9"/>
      <c r="AC32" s="21"/>
      <c r="AD32" s="64"/>
      <c r="AE32" s="64"/>
      <c r="AF32" s="64"/>
    </row>
    <row r="33" spans="1:32" x14ac:dyDescent="0.2">
      <c r="A33" s="68" t="s">
        <v>51</v>
      </c>
      <c r="B33" s="59" t="s">
        <v>181</v>
      </c>
      <c r="C33" s="60" t="s">
        <v>182</v>
      </c>
      <c r="D33" s="60" t="s">
        <v>183</v>
      </c>
      <c r="E33" s="60" t="s">
        <v>184</v>
      </c>
      <c r="G33" s="78"/>
      <c r="H33" s="78"/>
      <c r="I33" s="78"/>
      <c r="J33" s="68" t="s">
        <v>51</v>
      </c>
      <c r="K33" s="59" t="s">
        <v>185</v>
      </c>
      <c r="L33" s="60" t="s">
        <v>182</v>
      </c>
      <c r="M33" s="60" t="s">
        <v>183</v>
      </c>
      <c r="N33" s="60" t="s">
        <v>184</v>
      </c>
      <c r="O33" s="67"/>
      <c r="P33" s="66"/>
      <c r="Q33" s="66"/>
      <c r="R33" s="66"/>
      <c r="S33" s="66"/>
    </row>
    <row r="34" spans="1:32" x14ac:dyDescent="0.2">
      <c r="B34" s="59" t="s">
        <v>203</v>
      </c>
      <c r="C34" s="17">
        <f>AVERAGE(C11:C15)</f>
        <v>20.235469581734215</v>
      </c>
      <c r="D34" s="17">
        <f>AVERAGE(D11:D15)</f>
        <v>63.22930415596452</v>
      </c>
      <c r="E34" s="17">
        <f>AVERAGE(E11:E15)</f>
        <v>16.535226262301268</v>
      </c>
      <c r="F34" s="9"/>
      <c r="G34" s="68"/>
      <c r="H34" s="68"/>
      <c r="I34" s="68"/>
      <c r="K34" s="59" t="s">
        <v>203</v>
      </c>
      <c r="L34" s="17">
        <f>AVERAGE(L11:L16)</f>
        <v>12.396829626615025</v>
      </c>
      <c r="M34" s="17">
        <f>AVERAGE(M11:M16)</f>
        <v>76.789349483488238</v>
      </c>
      <c r="N34" s="17">
        <f>AVERAGE(N11:N16)</f>
        <v>10.813820889896732</v>
      </c>
      <c r="O34" s="67"/>
      <c r="P34" s="66"/>
      <c r="Q34" s="66"/>
      <c r="R34" s="66"/>
      <c r="S34" s="66"/>
      <c r="T34" s="21" t="s">
        <v>204</v>
      </c>
      <c r="AC34" s="21" t="s">
        <v>205</v>
      </c>
    </row>
    <row r="35" spans="1:32" x14ac:dyDescent="0.2">
      <c r="B35" s="59" t="s">
        <v>2</v>
      </c>
      <c r="C35" s="17">
        <f>AVERAGE(C19:C21)</f>
        <v>80.506652717968009</v>
      </c>
      <c r="D35" s="17">
        <f>AVERAGE(D19:D21)</f>
        <v>11.560462001982756</v>
      </c>
      <c r="E35" s="17">
        <f>AVERAGE(E19:E21)</f>
        <v>7.9328852800492351</v>
      </c>
      <c r="F35" s="9"/>
      <c r="G35" s="68"/>
      <c r="H35" s="68"/>
      <c r="I35" s="68"/>
      <c r="K35" s="59" t="s">
        <v>2</v>
      </c>
      <c r="L35" s="17">
        <f>AVERAGE(L19:L21)</f>
        <v>71.780978629893227</v>
      </c>
      <c r="M35" s="17">
        <f>AVERAGE(M19:M21)</f>
        <v>18.463600395132712</v>
      </c>
      <c r="N35" s="17">
        <f>AVERAGE(N19:N21)</f>
        <v>9.7554209749740579</v>
      </c>
      <c r="O35" s="67"/>
      <c r="P35" s="66"/>
      <c r="Q35" s="66"/>
      <c r="R35" s="66"/>
      <c r="S35" s="66"/>
      <c r="T35" s="60" t="s">
        <v>1</v>
      </c>
      <c r="U35" s="69" t="s">
        <v>2</v>
      </c>
      <c r="V35" s="69" t="s">
        <v>3</v>
      </c>
      <c r="W35" s="69" t="s">
        <v>4</v>
      </c>
      <c r="AC35" s="60" t="s">
        <v>1</v>
      </c>
      <c r="AD35" s="69" t="s">
        <v>2</v>
      </c>
      <c r="AE35" s="69" t="s">
        <v>3</v>
      </c>
      <c r="AF35" s="69" t="s">
        <v>4</v>
      </c>
    </row>
    <row r="36" spans="1:32" x14ac:dyDescent="0.2">
      <c r="B36" s="59" t="s">
        <v>3</v>
      </c>
      <c r="C36" s="17">
        <f>AVERAGE(C24:C26)</f>
        <v>22.688846135557196</v>
      </c>
      <c r="D36" s="17">
        <f>AVERAGE(D24:D26)</f>
        <v>23.61588536574753</v>
      </c>
      <c r="E36" s="17">
        <f>AVERAGE(E24:E26)</f>
        <v>53.69526849869527</v>
      </c>
      <c r="F36" s="9"/>
      <c r="G36" s="68"/>
      <c r="H36" s="68"/>
      <c r="I36" s="68"/>
      <c r="K36" s="59" t="s">
        <v>3</v>
      </c>
      <c r="L36" s="17">
        <f>AVERAGE(L24:L26)</f>
        <v>19.391095976277537</v>
      </c>
      <c r="M36" s="17">
        <f>AVERAGE(M24:M26)</f>
        <v>22.373138264167466</v>
      </c>
      <c r="N36" s="17">
        <f>AVERAGE(N24:N26)</f>
        <v>58.235765759555001</v>
      </c>
      <c r="O36" s="67"/>
      <c r="P36" s="66"/>
      <c r="Q36" s="66"/>
      <c r="R36" s="66"/>
      <c r="S36" s="66"/>
      <c r="T36" s="17">
        <f>SUM(U11:W15)</f>
        <v>1356</v>
      </c>
      <c r="U36" s="17">
        <f>SUM(U19:W21)</f>
        <v>764</v>
      </c>
      <c r="V36" s="17">
        <f>SUM(U24:W26)</f>
        <v>739</v>
      </c>
      <c r="W36" s="17">
        <f>SUM(U29:W31)</f>
        <v>876</v>
      </c>
      <c r="AC36" s="17">
        <f>SUM(AD11:AF17)</f>
        <v>1475</v>
      </c>
      <c r="AD36" s="17">
        <f>SUM(AD19:AF21)</f>
        <v>831</v>
      </c>
      <c r="AE36" s="17">
        <f>SUM(AD24:AF26)</f>
        <v>781</v>
      </c>
      <c r="AF36" s="17">
        <f>SUM(AD29:AF31)</f>
        <v>848</v>
      </c>
    </row>
    <row r="37" spans="1:32" x14ac:dyDescent="0.2">
      <c r="B37" s="59" t="s">
        <v>4</v>
      </c>
      <c r="C37" s="17">
        <f>AVERAGE(C29:C31)</f>
        <v>35.638848455442343</v>
      </c>
      <c r="D37" s="17">
        <f>AVERAGE(D29:D31)</f>
        <v>16.055765751612203</v>
      </c>
      <c r="E37" s="17">
        <f>AVERAGE(E29:E31)</f>
        <v>48.305385792945458</v>
      </c>
      <c r="F37" s="9"/>
      <c r="G37" s="68"/>
      <c r="H37" s="68"/>
      <c r="I37" s="68"/>
      <c r="K37" s="59" t="s">
        <v>4</v>
      </c>
      <c r="L37" s="17">
        <f>AVERAGE(L29:L31)</f>
        <v>15.604609815136129</v>
      </c>
      <c r="M37" s="17">
        <f>AVERAGE(M29:M31)</f>
        <v>22.953144970688829</v>
      </c>
      <c r="N37" s="17">
        <f>AVERAGE(N29:N31)</f>
        <v>61.442245214175038</v>
      </c>
      <c r="O37" s="67"/>
      <c r="P37" s="66"/>
      <c r="Q37" s="66"/>
      <c r="R37" s="66"/>
      <c r="S37" s="66"/>
    </row>
    <row r="38" spans="1:32" x14ac:dyDescent="0.2">
      <c r="G38" s="78"/>
      <c r="H38" s="78"/>
      <c r="I38" s="78"/>
      <c r="O38" s="67"/>
      <c r="P38" s="66"/>
      <c r="Q38" s="66"/>
      <c r="R38" s="66"/>
      <c r="S38" s="66"/>
    </row>
    <row r="39" spans="1:32" x14ac:dyDescent="0.2">
      <c r="A39" s="68" t="s">
        <v>13</v>
      </c>
      <c r="B39" s="59" t="s">
        <v>181</v>
      </c>
      <c r="C39" s="60" t="s">
        <v>182</v>
      </c>
      <c r="D39" s="60" t="s">
        <v>183</v>
      </c>
      <c r="E39" s="60" t="s">
        <v>184</v>
      </c>
      <c r="G39" s="78"/>
      <c r="H39" s="78"/>
      <c r="I39" s="78"/>
      <c r="J39" s="68" t="s">
        <v>13</v>
      </c>
      <c r="K39" s="59" t="s">
        <v>185</v>
      </c>
      <c r="L39" s="60" t="s">
        <v>182</v>
      </c>
      <c r="M39" s="60" t="s">
        <v>183</v>
      </c>
      <c r="N39" s="60" t="s">
        <v>184</v>
      </c>
      <c r="O39" s="67"/>
      <c r="P39" s="66"/>
      <c r="Q39" s="66"/>
      <c r="R39" s="66"/>
      <c r="S39" s="66"/>
    </row>
    <row r="40" spans="1:32" x14ac:dyDescent="0.2">
      <c r="B40" s="59" t="s">
        <v>203</v>
      </c>
      <c r="C40" s="17">
        <f>STDEV(C11:C15)</f>
        <v>2.8916361347845276</v>
      </c>
      <c r="D40" s="17">
        <f>STDEV(D11:D15)</f>
        <v>11.765271655800612</v>
      </c>
      <c r="E40" s="17">
        <f>STDEV(E11:E15)</f>
        <v>13.05121185733573</v>
      </c>
      <c r="F40" s="9"/>
      <c r="G40" s="68"/>
      <c r="H40" s="68"/>
      <c r="I40" s="68"/>
      <c r="K40" s="59" t="s">
        <v>203</v>
      </c>
      <c r="L40" s="17">
        <f>STDEV(L11:L16)</f>
        <v>2.8952103929810526</v>
      </c>
      <c r="M40" s="17">
        <f>STDEV(M11:M16)</f>
        <v>9.0279770329680353</v>
      </c>
      <c r="N40" s="17">
        <f>STDEV(N11:N16)</f>
        <v>7.6979555020014407</v>
      </c>
      <c r="O40" s="67"/>
      <c r="P40" s="66"/>
      <c r="Q40" s="66"/>
      <c r="R40" s="66"/>
      <c r="S40" s="66"/>
    </row>
    <row r="41" spans="1:32" x14ac:dyDescent="0.2">
      <c r="B41" s="59" t="s">
        <v>2</v>
      </c>
      <c r="C41" s="17">
        <f>STDEV(C19:C21)</f>
        <v>10.456538026524397</v>
      </c>
      <c r="D41" s="17">
        <f>STDEV(D19:D21)</f>
        <v>7.6725238976725745</v>
      </c>
      <c r="E41" s="17">
        <f>STDEV(E19:E21)</f>
        <v>2.9277381332237171</v>
      </c>
      <c r="F41" s="9"/>
      <c r="G41" s="68"/>
      <c r="H41" s="68"/>
      <c r="I41" s="68"/>
      <c r="K41" s="59" t="s">
        <v>2</v>
      </c>
      <c r="L41" s="17">
        <f>STDEV(L19:L21)</f>
        <v>15.154972809436591</v>
      </c>
      <c r="M41" s="17">
        <f>STDEV(M19:M21)</f>
        <v>13.57723467994211</v>
      </c>
      <c r="N41" s="17">
        <f>STDEV(N19:N21)</f>
        <v>9.3602880192469815</v>
      </c>
      <c r="O41" s="67"/>
      <c r="P41" s="66"/>
      <c r="Q41" s="66"/>
      <c r="R41" s="66"/>
      <c r="S41" s="66"/>
    </row>
    <row r="42" spans="1:32" x14ac:dyDescent="0.2">
      <c r="B42" s="59" t="s">
        <v>3</v>
      </c>
      <c r="C42" s="17">
        <f>STDEV(C24:C26)</f>
        <v>5.905942297875411</v>
      </c>
      <c r="D42" s="17">
        <f>STDEV(D24:D26)</f>
        <v>5.3619591530610524</v>
      </c>
      <c r="E42" s="17">
        <f>STDEV(E24:E26)</f>
        <v>8.4583308029062874</v>
      </c>
      <c r="F42" s="9"/>
      <c r="G42" s="68"/>
      <c r="H42" s="68"/>
      <c r="I42" s="68"/>
      <c r="K42" s="59" t="s">
        <v>3</v>
      </c>
      <c r="L42" s="17">
        <f>STDEV(L24:L26)</f>
        <v>6.1951722405503196</v>
      </c>
      <c r="M42" s="17">
        <f>STDEV(M24:M26)</f>
        <v>4.0493083551532534</v>
      </c>
      <c r="N42" s="17">
        <f>STDEV(N24:N26)</f>
        <v>4.1115615826944989</v>
      </c>
      <c r="O42" s="67"/>
      <c r="P42" s="66"/>
      <c r="Q42" s="66"/>
      <c r="R42" s="66"/>
      <c r="S42" s="66"/>
    </row>
    <row r="43" spans="1:32" x14ac:dyDescent="0.2">
      <c r="B43" s="59" t="s">
        <v>4</v>
      </c>
      <c r="C43" s="17">
        <f>STDEV(C29:C31)</f>
        <v>17.178437498654993</v>
      </c>
      <c r="D43" s="17">
        <f>STDEV(D29:D31)</f>
        <v>2.9175911833511488</v>
      </c>
      <c r="E43" s="17">
        <f>STDEV(E29:E31)</f>
        <v>14.393541716292452</v>
      </c>
      <c r="F43" s="9"/>
      <c r="G43" s="68"/>
      <c r="H43" s="68"/>
      <c r="I43" s="68"/>
      <c r="K43" s="59" t="s">
        <v>4</v>
      </c>
      <c r="L43" s="17">
        <f>STDEV(L29:L31)</f>
        <v>3.5110102085627068</v>
      </c>
      <c r="M43" s="17">
        <f>STDEV(M29:M31)</f>
        <v>7.1503616952275033</v>
      </c>
      <c r="N43" s="17">
        <f>STDEV(N29:N31)</f>
        <v>10.081013265455658</v>
      </c>
      <c r="O43" s="67"/>
      <c r="P43" s="66"/>
      <c r="Q43" s="66"/>
      <c r="R43" s="66"/>
      <c r="S43" s="66"/>
    </row>
    <row r="44" spans="1:32" x14ac:dyDescent="0.2">
      <c r="G44" s="78"/>
      <c r="H44" s="78"/>
      <c r="I44" s="78"/>
      <c r="O44" s="67"/>
      <c r="P44" s="66"/>
      <c r="Q44" s="66"/>
      <c r="R44" s="66"/>
      <c r="S44" s="66"/>
    </row>
    <row r="45" spans="1:32" x14ac:dyDescent="0.2">
      <c r="A45" s="68" t="s">
        <v>14</v>
      </c>
      <c r="B45" s="59" t="s">
        <v>181</v>
      </c>
      <c r="C45" s="60" t="s">
        <v>182</v>
      </c>
      <c r="D45" s="60" t="s">
        <v>183</v>
      </c>
      <c r="E45" s="60" t="s">
        <v>184</v>
      </c>
      <c r="G45" s="78"/>
      <c r="H45" s="78"/>
      <c r="I45" s="78"/>
      <c r="J45" s="68" t="s">
        <v>14</v>
      </c>
      <c r="K45" s="59" t="s">
        <v>185</v>
      </c>
      <c r="L45" s="60" t="s">
        <v>182</v>
      </c>
      <c r="M45" s="60" t="s">
        <v>183</v>
      </c>
      <c r="N45" s="60" t="s">
        <v>184</v>
      </c>
      <c r="O45" s="67"/>
      <c r="P45" s="66"/>
      <c r="Q45" s="66"/>
      <c r="R45" s="66"/>
      <c r="S45" s="66"/>
    </row>
    <row r="46" spans="1:32" x14ac:dyDescent="0.2">
      <c r="B46" s="59" t="s">
        <v>1</v>
      </c>
      <c r="C46" s="70">
        <f>C40/(5^0.5)</f>
        <v>1.2931789927145896</v>
      </c>
      <c r="D46" s="70">
        <f t="shared" ref="D46:E46" si="32">D40/(5^0.5)</f>
        <v>5.261589439224335</v>
      </c>
      <c r="E46" s="70">
        <f t="shared" si="32"/>
        <v>5.8366793803507955</v>
      </c>
      <c r="F46" s="9"/>
      <c r="G46" s="79"/>
      <c r="H46" s="79"/>
      <c r="I46" s="79"/>
      <c r="K46" s="59" t="s">
        <v>1</v>
      </c>
      <c r="L46" s="70">
        <f>L40/(6^0.5)</f>
        <v>1.1819646934677239</v>
      </c>
      <c r="M46" s="70">
        <f t="shared" ref="M46:N46" si="33">M40/(6^0.5)</f>
        <v>3.685656190056219</v>
      </c>
      <c r="N46" s="70">
        <f t="shared" si="33"/>
        <v>3.1426771737589769</v>
      </c>
      <c r="O46" s="67"/>
      <c r="P46" s="66"/>
      <c r="Q46" s="66"/>
      <c r="R46" s="66"/>
      <c r="S46" s="66"/>
    </row>
    <row r="47" spans="1:32" x14ac:dyDescent="0.2">
      <c r="B47" s="59" t="s">
        <v>2</v>
      </c>
      <c r="C47" s="70">
        <f>C41/(3^0.5)</f>
        <v>6.0370850444054192</v>
      </c>
      <c r="D47" s="70">
        <f t="shared" ref="D47:E49" si="34">D41/(3^0.5)</f>
        <v>4.4297337376850976</v>
      </c>
      <c r="E47" s="70">
        <f t="shared" si="34"/>
        <v>1.6903303993334455</v>
      </c>
      <c r="F47" s="9"/>
      <c r="G47" s="79"/>
      <c r="H47" s="79"/>
      <c r="I47" s="79"/>
      <c r="K47" s="59" t="s">
        <v>2</v>
      </c>
      <c r="L47" s="70">
        <f>L41/(3^0.5)</f>
        <v>8.7497276310896748</v>
      </c>
      <c r="M47" s="70">
        <f t="shared" ref="M47:N49" si="35">M41/(3^0.5)</f>
        <v>7.8388200973152999</v>
      </c>
      <c r="N47" s="70">
        <f t="shared" si="35"/>
        <v>5.4041648076046744</v>
      </c>
    </row>
    <row r="48" spans="1:32" x14ac:dyDescent="0.2">
      <c r="B48" s="59" t="s">
        <v>3</v>
      </c>
      <c r="C48" s="70">
        <f>C42/(3^0.5)</f>
        <v>3.4097973754967659</v>
      </c>
      <c r="D48" s="70">
        <f t="shared" si="34"/>
        <v>3.0957285604035767</v>
      </c>
      <c r="E48" s="70">
        <f t="shared" si="34"/>
        <v>4.883419565952849</v>
      </c>
      <c r="F48" s="9"/>
      <c r="G48" s="79"/>
      <c r="H48" s="79"/>
      <c r="I48" s="79"/>
      <c r="K48" s="59" t="s">
        <v>3</v>
      </c>
      <c r="L48" s="70">
        <f>L42/(3^0.5)</f>
        <v>3.576784360757824</v>
      </c>
      <c r="M48" s="70">
        <f t="shared" si="35"/>
        <v>2.3378692688795315</v>
      </c>
      <c r="N48" s="70">
        <f t="shared" si="35"/>
        <v>2.3738111865583926</v>
      </c>
    </row>
    <row r="49" spans="1:14" x14ac:dyDescent="0.2">
      <c r="B49" s="59" t="s">
        <v>4</v>
      </c>
      <c r="C49" s="70">
        <f>C43/(3^0.5)</f>
        <v>9.9179755141056223</v>
      </c>
      <c r="D49" s="70">
        <f t="shared" si="34"/>
        <v>1.6844720550930645</v>
      </c>
      <c r="E49" s="70">
        <f t="shared" si="34"/>
        <v>8.3101151844935561</v>
      </c>
      <c r="F49" s="9"/>
      <c r="G49" s="79"/>
      <c r="H49" s="79"/>
      <c r="I49" s="79"/>
      <c r="K49" s="59" t="s">
        <v>4</v>
      </c>
      <c r="L49" s="70">
        <f>L43/(3^0.5)</f>
        <v>2.0270826890412028</v>
      </c>
      <c r="M49" s="70">
        <f t="shared" si="35"/>
        <v>4.1282632495427878</v>
      </c>
      <c r="N49" s="70">
        <f t="shared" si="35"/>
        <v>5.8202757225150128</v>
      </c>
    </row>
    <row r="50" spans="1:14" x14ac:dyDescent="0.2">
      <c r="B50" s="9"/>
      <c r="C50" s="9"/>
      <c r="D50" s="9"/>
      <c r="E50" s="9"/>
      <c r="F50" s="9"/>
    </row>
    <row r="51" spans="1:14" x14ac:dyDescent="0.2">
      <c r="A51" s="9" t="s">
        <v>206</v>
      </c>
      <c r="B51" s="59" t="s">
        <v>181</v>
      </c>
      <c r="C51" s="60" t="s">
        <v>182</v>
      </c>
      <c r="D51" s="60" t="s">
        <v>183</v>
      </c>
      <c r="E51" s="60" t="s">
        <v>184</v>
      </c>
      <c r="J51" s="9" t="s">
        <v>206</v>
      </c>
      <c r="K51" s="59" t="s">
        <v>185</v>
      </c>
      <c r="L51" s="60" t="s">
        <v>182</v>
      </c>
      <c r="M51" s="60" t="s">
        <v>183</v>
      </c>
      <c r="N51" s="60" t="s">
        <v>184</v>
      </c>
    </row>
    <row r="52" spans="1:14" x14ac:dyDescent="0.2">
      <c r="B52" s="59" t="s">
        <v>6</v>
      </c>
      <c r="C52" s="71" t="s">
        <v>176</v>
      </c>
      <c r="D52" s="71" t="s">
        <v>176</v>
      </c>
      <c r="E52" s="72">
        <v>0.63080000000000003</v>
      </c>
      <c r="F52" s="9"/>
      <c r="K52" s="59" t="s">
        <v>6</v>
      </c>
      <c r="L52" s="71" t="s">
        <v>176</v>
      </c>
      <c r="M52" s="71" t="s">
        <v>176</v>
      </c>
      <c r="N52" s="73">
        <v>0.996</v>
      </c>
    </row>
    <row r="53" spans="1:14" x14ac:dyDescent="0.2">
      <c r="B53" s="59" t="s">
        <v>7</v>
      </c>
      <c r="C53" s="72">
        <v>0.97409999999999997</v>
      </c>
      <c r="D53" s="74">
        <v>2.9999999999999997E-4</v>
      </c>
      <c r="E53" s="73">
        <v>3.0000000000000001E-3</v>
      </c>
      <c r="F53" s="9"/>
      <c r="K53" s="59" t="s">
        <v>7</v>
      </c>
      <c r="L53" s="72">
        <v>0.46050000000000002</v>
      </c>
      <c r="M53" s="74" t="s">
        <v>176</v>
      </c>
      <c r="N53" s="75" t="s">
        <v>176</v>
      </c>
    </row>
    <row r="54" spans="1:14" x14ac:dyDescent="0.2">
      <c r="B54" s="59" t="s">
        <v>8</v>
      </c>
      <c r="C54" s="72">
        <v>0.1295</v>
      </c>
      <c r="D54" s="71" t="s">
        <v>176</v>
      </c>
      <c r="E54" s="72">
        <v>8.3000000000000001E-3</v>
      </c>
      <c r="F54" s="9"/>
      <c r="K54" s="59" t="s">
        <v>8</v>
      </c>
      <c r="L54" s="73">
        <v>0.88900000000000001</v>
      </c>
      <c r="M54" s="71" t="s">
        <v>176</v>
      </c>
      <c r="N54" s="75" t="s">
        <v>176</v>
      </c>
    </row>
    <row r="55" spans="1:14" x14ac:dyDescent="0.2">
      <c r="B55" s="9"/>
      <c r="C55" s="9"/>
      <c r="D55" s="9"/>
      <c r="E55" s="9"/>
      <c r="F55" s="9"/>
    </row>
    <row r="56" spans="1:14" x14ac:dyDescent="0.2">
      <c r="B56" s="9"/>
      <c r="C56" s="9"/>
      <c r="D56" s="9"/>
      <c r="E56" s="9"/>
      <c r="F56" s="9"/>
    </row>
    <row r="57" spans="1:14" ht="18" x14ac:dyDescent="0.2">
      <c r="A57" s="19" t="s">
        <v>52</v>
      </c>
      <c r="B57" s="20"/>
      <c r="C57" s="20"/>
      <c r="D57" s="20"/>
      <c r="E57" s="20"/>
      <c r="J57" s="19" t="s">
        <v>52</v>
      </c>
      <c r="K57" s="20"/>
      <c r="L57" s="20"/>
      <c r="M57" s="20"/>
      <c r="N57" s="20"/>
    </row>
    <row r="58" spans="1:14" x14ac:dyDescent="0.2">
      <c r="B58" s="9"/>
      <c r="C58" s="9"/>
      <c r="D58" s="9"/>
      <c r="E58" s="9"/>
      <c r="F58" s="9"/>
    </row>
    <row r="59" spans="1:14" x14ac:dyDescent="0.2">
      <c r="A59" s="52" t="s">
        <v>210</v>
      </c>
      <c r="B59" s="15" t="s">
        <v>53</v>
      </c>
      <c r="C59" s="9"/>
      <c r="D59" s="9"/>
      <c r="E59" s="9"/>
      <c r="F59" s="9"/>
      <c r="J59" s="52" t="s">
        <v>211</v>
      </c>
      <c r="K59" s="15" t="s">
        <v>53</v>
      </c>
      <c r="L59" s="1"/>
    </row>
    <row r="60" spans="1:14" x14ac:dyDescent="0.2">
      <c r="B60" s="9" t="s">
        <v>0</v>
      </c>
      <c r="C60" s="9"/>
      <c r="D60" s="9"/>
      <c r="E60" s="9">
        <v>28.15</v>
      </c>
      <c r="K60" s="2" t="s">
        <v>0</v>
      </c>
      <c r="N60" s="1">
        <v>47.77</v>
      </c>
    </row>
    <row r="61" spans="1:14" x14ac:dyDescent="0.2">
      <c r="B61" s="9" t="s">
        <v>36</v>
      </c>
      <c r="C61" s="9"/>
      <c r="D61" s="9"/>
      <c r="E61" s="48" t="s">
        <v>176</v>
      </c>
      <c r="K61" s="2" t="s">
        <v>36</v>
      </c>
      <c r="N61" s="46" t="s">
        <v>176</v>
      </c>
    </row>
    <row r="62" spans="1:14" x14ac:dyDescent="0.2">
      <c r="B62" s="9" t="s">
        <v>37</v>
      </c>
      <c r="C62" s="9"/>
      <c r="D62" s="9"/>
      <c r="E62" s="48" t="s">
        <v>10</v>
      </c>
      <c r="K62" s="2" t="s">
        <v>37</v>
      </c>
      <c r="N62" s="46" t="s">
        <v>10</v>
      </c>
    </row>
    <row r="63" spans="1:14" x14ac:dyDescent="0.2">
      <c r="B63" s="9" t="s">
        <v>54</v>
      </c>
      <c r="C63" s="9"/>
      <c r="D63" s="9"/>
      <c r="E63" s="48" t="s">
        <v>41</v>
      </c>
      <c r="K63" s="2" t="s">
        <v>54</v>
      </c>
      <c r="N63" s="46" t="s">
        <v>41</v>
      </c>
    </row>
    <row r="64" spans="1:14" x14ac:dyDescent="0.2">
      <c r="B64" s="9" t="s">
        <v>55</v>
      </c>
      <c r="C64" s="9"/>
      <c r="D64" s="9"/>
      <c r="E64" s="9">
        <v>0.89410000000000001</v>
      </c>
      <c r="K64" s="2" t="s">
        <v>55</v>
      </c>
      <c r="N64" s="1">
        <v>0.92869999999999997</v>
      </c>
    </row>
    <row r="66" spans="1:17" x14ac:dyDescent="0.2">
      <c r="B66" s="3" t="s">
        <v>44</v>
      </c>
      <c r="H66" s="76"/>
      <c r="K66" s="3" t="s">
        <v>44</v>
      </c>
      <c r="L66" s="76"/>
      <c r="M66" s="76"/>
      <c r="N66" s="76"/>
      <c r="O66" s="76"/>
      <c r="P66" s="76"/>
      <c r="Q66" s="76"/>
    </row>
    <row r="67" spans="1:17" x14ac:dyDescent="0.2">
      <c r="C67" s="16" t="s">
        <v>45</v>
      </c>
      <c r="D67" s="16" t="s">
        <v>46</v>
      </c>
      <c r="E67" s="16" t="s">
        <v>47</v>
      </c>
      <c r="F67" s="16" t="s">
        <v>48</v>
      </c>
      <c r="G67" s="16" t="s">
        <v>5</v>
      </c>
      <c r="K67" s="76"/>
      <c r="L67" s="16" t="s">
        <v>45</v>
      </c>
      <c r="M67" s="16" t="s">
        <v>46</v>
      </c>
      <c r="N67" s="16" t="s">
        <v>47</v>
      </c>
      <c r="O67" s="16" t="s">
        <v>48</v>
      </c>
      <c r="P67" s="16" t="s">
        <v>5</v>
      </c>
      <c r="Q67" s="16"/>
    </row>
    <row r="68" spans="1:17" x14ac:dyDescent="0.2">
      <c r="B68" s="2" t="s">
        <v>6</v>
      </c>
      <c r="C68" s="1">
        <v>-60.27</v>
      </c>
      <c r="D68" s="1" t="s">
        <v>212</v>
      </c>
      <c r="E68" s="1" t="s">
        <v>41</v>
      </c>
      <c r="F68" s="1" t="s">
        <v>10</v>
      </c>
      <c r="G68" s="46" t="s">
        <v>176</v>
      </c>
      <c r="K68" s="2" t="s">
        <v>6</v>
      </c>
      <c r="L68" s="1">
        <v>-59.38</v>
      </c>
      <c r="M68" s="1" t="s">
        <v>213</v>
      </c>
      <c r="N68" s="1" t="s">
        <v>41</v>
      </c>
      <c r="O68" s="1" t="s">
        <v>10</v>
      </c>
      <c r="P68" s="46" t="s">
        <v>176</v>
      </c>
      <c r="Q68" s="46"/>
    </row>
    <row r="69" spans="1:17" x14ac:dyDescent="0.2">
      <c r="B69" s="2" t="s">
        <v>7</v>
      </c>
      <c r="C69" s="1">
        <v>-2.4529999999999998</v>
      </c>
      <c r="D69" s="1" t="s">
        <v>214</v>
      </c>
      <c r="E69" s="1" t="s">
        <v>49</v>
      </c>
      <c r="F69" s="1" t="s">
        <v>9</v>
      </c>
      <c r="G69" s="1">
        <v>0.97409999999999997</v>
      </c>
      <c r="K69" s="2" t="s">
        <v>7</v>
      </c>
      <c r="L69" s="1">
        <v>-6.9939999999999998</v>
      </c>
      <c r="M69" s="1" t="s">
        <v>215</v>
      </c>
      <c r="N69" s="1" t="s">
        <v>49</v>
      </c>
      <c r="O69" s="1" t="s">
        <v>9</v>
      </c>
      <c r="P69" s="1">
        <v>0.46050000000000002</v>
      </c>
      <c r="Q69" s="1"/>
    </row>
    <row r="70" spans="1:17" x14ac:dyDescent="0.2">
      <c r="B70" s="2" t="s">
        <v>8</v>
      </c>
      <c r="C70" s="1">
        <v>-15.4</v>
      </c>
      <c r="D70" s="1" t="s">
        <v>216</v>
      </c>
      <c r="E70" s="1" t="s">
        <v>49</v>
      </c>
      <c r="F70" s="1" t="s">
        <v>9</v>
      </c>
      <c r="G70" s="1">
        <v>0.1295</v>
      </c>
      <c r="K70" s="2" t="s">
        <v>8</v>
      </c>
      <c r="L70" s="1">
        <v>-3.2080000000000002</v>
      </c>
      <c r="M70" s="1" t="s">
        <v>217</v>
      </c>
      <c r="N70" s="1" t="s">
        <v>49</v>
      </c>
      <c r="O70" s="1" t="s">
        <v>9</v>
      </c>
      <c r="P70" s="1">
        <v>0.88900000000000001</v>
      </c>
      <c r="Q70" s="1"/>
    </row>
    <row r="73" spans="1:17" x14ac:dyDescent="0.2">
      <c r="A73" s="52" t="s">
        <v>218</v>
      </c>
      <c r="B73" s="15" t="s">
        <v>53</v>
      </c>
      <c r="C73" s="1"/>
      <c r="J73" s="52" t="s">
        <v>219</v>
      </c>
      <c r="K73" s="15" t="s">
        <v>53</v>
      </c>
      <c r="L73" s="1"/>
    </row>
    <row r="74" spans="1:17" x14ac:dyDescent="0.2">
      <c r="B74" s="2" t="s">
        <v>0</v>
      </c>
      <c r="E74" s="1">
        <v>31.59</v>
      </c>
      <c r="K74" s="2" t="s">
        <v>0</v>
      </c>
      <c r="N74" s="1">
        <v>44.8</v>
      </c>
    </row>
    <row r="75" spans="1:17" x14ac:dyDescent="0.2">
      <c r="B75" s="2" t="s">
        <v>36</v>
      </c>
      <c r="E75" s="46" t="s">
        <v>176</v>
      </c>
      <c r="K75" s="2" t="s">
        <v>36</v>
      </c>
      <c r="N75" s="46" t="s">
        <v>176</v>
      </c>
    </row>
    <row r="76" spans="1:17" x14ac:dyDescent="0.2">
      <c r="B76" s="2" t="s">
        <v>37</v>
      </c>
      <c r="E76" s="46" t="s">
        <v>10</v>
      </c>
      <c r="K76" s="2" t="s">
        <v>37</v>
      </c>
      <c r="N76" s="46" t="s">
        <v>10</v>
      </c>
    </row>
    <row r="77" spans="1:17" x14ac:dyDescent="0.2">
      <c r="B77" s="2" t="s">
        <v>54</v>
      </c>
      <c r="E77" s="46" t="s">
        <v>41</v>
      </c>
      <c r="K77" s="2" t="s">
        <v>54</v>
      </c>
      <c r="N77" s="46" t="s">
        <v>41</v>
      </c>
    </row>
    <row r="78" spans="1:17" x14ac:dyDescent="0.2">
      <c r="B78" s="2" t="s">
        <v>55</v>
      </c>
      <c r="E78" s="1">
        <v>0.90459999999999996</v>
      </c>
      <c r="K78" s="2" t="s">
        <v>55</v>
      </c>
      <c r="N78" s="1">
        <v>0.9244</v>
      </c>
    </row>
    <row r="80" spans="1:17" x14ac:dyDescent="0.2">
      <c r="B80" s="3" t="s">
        <v>44</v>
      </c>
      <c r="K80" s="3" t="s">
        <v>44</v>
      </c>
      <c r="L80" s="76"/>
      <c r="M80" s="76"/>
      <c r="N80" s="76"/>
      <c r="O80" s="76"/>
      <c r="P80" s="76"/>
      <c r="Q80" s="76"/>
    </row>
    <row r="81" spans="1:17" x14ac:dyDescent="0.2">
      <c r="C81" s="16" t="s">
        <v>45</v>
      </c>
      <c r="D81" s="16" t="s">
        <v>46</v>
      </c>
      <c r="E81" s="16" t="s">
        <v>47</v>
      </c>
      <c r="F81" s="16" t="s">
        <v>48</v>
      </c>
      <c r="G81" s="16" t="s">
        <v>5</v>
      </c>
      <c r="K81" s="76"/>
      <c r="L81" s="16" t="s">
        <v>45</v>
      </c>
      <c r="M81" s="16" t="s">
        <v>46</v>
      </c>
      <c r="N81" s="16" t="s">
        <v>47</v>
      </c>
      <c r="O81" s="16" t="s">
        <v>48</v>
      </c>
      <c r="P81" s="16" t="s">
        <v>5</v>
      </c>
      <c r="Q81" s="16"/>
    </row>
    <row r="82" spans="1:17" x14ac:dyDescent="0.2">
      <c r="B82" s="2" t="s">
        <v>6</v>
      </c>
      <c r="C82" s="1">
        <v>51.67</v>
      </c>
      <c r="D82" s="1" t="s">
        <v>220</v>
      </c>
      <c r="E82" s="1" t="s">
        <v>41</v>
      </c>
      <c r="F82" s="1" t="s">
        <v>10</v>
      </c>
      <c r="G82" s="46" t="s">
        <v>176</v>
      </c>
      <c r="K82" s="2" t="s">
        <v>6</v>
      </c>
      <c r="L82" s="1">
        <v>58.33</v>
      </c>
      <c r="M82" s="1" t="s">
        <v>221</v>
      </c>
      <c r="N82" s="1" t="s">
        <v>41</v>
      </c>
      <c r="O82" s="1" t="s">
        <v>10</v>
      </c>
      <c r="P82" s="46" t="s">
        <v>176</v>
      </c>
      <c r="Q82" s="46"/>
    </row>
    <row r="83" spans="1:17" x14ac:dyDescent="0.2">
      <c r="B83" s="2" t="s">
        <v>7</v>
      </c>
      <c r="C83" s="1">
        <v>39.61</v>
      </c>
      <c r="D83" s="1" t="s">
        <v>222</v>
      </c>
      <c r="E83" s="1" t="s">
        <v>41</v>
      </c>
      <c r="F83" s="1" t="s">
        <v>10</v>
      </c>
      <c r="G83" s="46">
        <v>2.9999999999999997E-4</v>
      </c>
      <c r="K83" s="2" t="s">
        <v>7</v>
      </c>
      <c r="L83" s="1">
        <v>54.42</v>
      </c>
      <c r="M83" s="1" t="s">
        <v>223</v>
      </c>
      <c r="N83" s="1" t="s">
        <v>41</v>
      </c>
      <c r="O83" s="1" t="s">
        <v>10</v>
      </c>
      <c r="P83" s="46" t="s">
        <v>176</v>
      </c>
      <c r="Q83" s="46"/>
    </row>
    <row r="84" spans="1:17" x14ac:dyDescent="0.2">
      <c r="B84" s="2" t="s">
        <v>8</v>
      </c>
      <c r="C84" s="1">
        <v>47.17</v>
      </c>
      <c r="D84" s="1" t="s">
        <v>224</v>
      </c>
      <c r="E84" s="1" t="s">
        <v>41</v>
      </c>
      <c r="F84" s="1" t="s">
        <v>10</v>
      </c>
      <c r="G84" s="46" t="s">
        <v>176</v>
      </c>
      <c r="K84" s="2" t="s">
        <v>8</v>
      </c>
      <c r="L84" s="1">
        <v>53.84</v>
      </c>
      <c r="M84" s="1" t="s">
        <v>225</v>
      </c>
      <c r="N84" s="1" t="s">
        <v>41</v>
      </c>
      <c r="O84" s="1" t="s">
        <v>10</v>
      </c>
      <c r="P84" s="46" t="s">
        <v>176</v>
      </c>
      <c r="Q84" s="46"/>
    </row>
    <row r="87" spans="1:17" x14ac:dyDescent="0.2">
      <c r="A87" s="52" t="s">
        <v>226</v>
      </c>
      <c r="B87" s="15" t="s">
        <v>53</v>
      </c>
      <c r="C87" s="1"/>
      <c r="J87" s="52" t="s">
        <v>227</v>
      </c>
      <c r="K87" s="15" t="s">
        <v>53</v>
      </c>
      <c r="L87" s="1"/>
    </row>
    <row r="88" spans="1:17" x14ac:dyDescent="0.2">
      <c r="B88" s="2" t="s">
        <v>0</v>
      </c>
      <c r="E88" s="1">
        <v>13.41</v>
      </c>
      <c r="K88" s="2" t="s">
        <v>0</v>
      </c>
      <c r="N88" s="1">
        <v>45.51</v>
      </c>
    </row>
    <row r="89" spans="1:17" x14ac:dyDescent="0.2">
      <c r="B89" s="2" t="s">
        <v>36</v>
      </c>
      <c r="E89" s="1">
        <v>8.0000000000000004E-4</v>
      </c>
      <c r="K89" s="2" t="s">
        <v>36</v>
      </c>
      <c r="N89" s="46" t="s">
        <v>176</v>
      </c>
    </row>
    <row r="90" spans="1:17" x14ac:dyDescent="0.2">
      <c r="B90" s="2" t="s">
        <v>37</v>
      </c>
      <c r="E90" s="46" t="s">
        <v>10</v>
      </c>
      <c r="K90" s="2" t="s">
        <v>37</v>
      </c>
      <c r="N90" s="46" t="s">
        <v>10</v>
      </c>
    </row>
    <row r="91" spans="1:17" x14ac:dyDescent="0.2">
      <c r="B91" s="2" t="s">
        <v>54</v>
      </c>
      <c r="E91" s="46" t="s">
        <v>41</v>
      </c>
      <c r="K91" s="2" t="s">
        <v>54</v>
      </c>
      <c r="N91" s="46" t="s">
        <v>41</v>
      </c>
    </row>
    <row r="92" spans="1:17" x14ac:dyDescent="0.2">
      <c r="B92" s="2" t="s">
        <v>55</v>
      </c>
      <c r="E92" s="1">
        <v>0.80089999999999995</v>
      </c>
      <c r="K92" s="2" t="s">
        <v>55</v>
      </c>
      <c r="N92" s="1">
        <v>0.9254</v>
      </c>
    </row>
    <row r="94" spans="1:17" x14ac:dyDescent="0.2">
      <c r="B94" s="3" t="s">
        <v>44</v>
      </c>
      <c r="C94" s="76"/>
      <c r="D94" s="76"/>
      <c r="E94" s="76"/>
      <c r="F94" s="76"/>
      <c r="G94" s="76"/>
      <c r="K94" s="2" t="s">
        <v>44</v>
      </c>
      <c r="L94" s="77"/>
      <c r="M94" s="77"/>
      <c r="N94" s="77"/>
      <c r="O94" s="77"/>
      <c r="P94" s="77"/>
      <c r="Q94" s="77"/>
    </row>
    <row r="95" spans="1:17" x14ac:dyDescent="0.2">
      <c r="B95" s="76"/>
      <c r="C95" s="16" t="s">
        <v>45</v>
      </c>
      <c r="D95" s="16" t="s">
        <v>46</v>
      </c>
      <c r="E95" s="16" t="s">
        <v>47</v>
      </c>
      <c r="F95" s="16" t="s">
        <v>48</v>
      </c>
      <c r="G95" s="16" t="s">
        <v>5</v>
      </c>
      <c r="K95" s="77"/>
      <c r="L95" s="1" t="s">
        <v>45</v>
      </c>
      <c r="M95" s="1" t="s">
        <v>46</v>
      </c>
      <c r="N95" s="1" t="s">
        <v>47</v>
      </c>
      <c r="O95" s="1" t="s">
        <v>48</v>
      </c>
      <c r="P95" s="1" t="s">
        <v>5</v>
      </c>
      <c r="Q95" s="1"/>
    </row>
    <row r="96" spans="1:17" x14ac:dyDescent="0.2">
      <c r="B96" s="2" t="s">
        <v>6</v>
      </c>
      <c r="C96" s="1">
        <v>8.6020000000000003</v>
      </c>
      <c r="D96" s="1" t="s">
        <v>228</v>
      </c>
      <c r="E96" s="1" t="s">
        <v>49</v>
      </c>
      <c r="F96" s="1" t="s">
        <v>9</v>
      </c>
      <c r="G96" s="1">
        <v>0.63080000000000003</v>
      </c>
      <c r="K96" s="2" t="s">
        <v>6</v>
      </c>
      <c r="L96" s="1">
        <v>1.0580000000000001</v>
      </c>
      <c r="M96" s="1" t="s">
        <v>229</v>
      </c>
      <c r="N96" s="1" t="s">
        <v>49</v>
      </c>
      <c r="O96" s="1" t="s">
        <v>9</v>
      </c>
      <c r="P96" s="1">
        <v>0.996</v>
      </c>
      <c r="Q96" s="1"/>
    </row>
    <row r="97" spans="2:17" x14ac:dyDescent="0.2">
      <c r="B97" s="2" t="s">
        <v>7</v>
      </c>
      <c r="C97" s="1">
        <v>-37.159999999999997</v>
      </c>
      <c r="D97" s="1" t="s">
        <v>230</v>
      </c>
      <c r="E97" s="1" t="s">
        <v>41</v>
      </c>
      <c r="F97" s="1" t="s">
        <v>11</v>
      </c>
      <c r="G97" s="1">
        <v>3.0000000000000001E-3</v>
      </c>
      <c r="K97" s="2" t="s">
        <v>7</v>
      </c>
      <c r="L97" s="1">
        <v>-47.42</v>
      </c>
      <c r="M97" s="1" t="s">
        <v>231</v>
      </c>
      <c r="N97" s="1" t="s">
        <v>41</v>
      </c>
      <c r="O97" s="1" t="s">
        <v>10</v>
      </c>
      <c r="P97" s="46" t="s">
        <v>176</v>
      </c>
      <c r="Q97" s="46"/>
    </row>
    <row r="98" spans="2:17" x14ac:dyDescent="0.2">
      <c r="B98" s="2" t="s">
        <v>8</v>
      </c>
      <c r="C98" s="1">
        <v>-31.77</v>
      </c>
      <c r="D98" s="1" t="s">
        <v>232</v>
      </c>
      <c r="E98" s="1" t="s">
        <v>41</v>
      </c>
      <c r="F98" s="1" t="s">
        <v>11</v>
      </c>
      <c r="G98" s="1">
        <v>8.3000000000000001E-3</v>
      </c>
      <c r="K98" s="2" t="s">
        <v>8</v>
      </c>
      <c r="L98" s="1">
        <v>-50.63</v>
      </c>
      <c r="M98" s="1" t="s">
        <v>233</v>
      </c>
      <c r="N98" s="1" t="s">
        <v>41</v>
      </c>
      <c r="O98" s="1" t="s">
        <v>10</v>
      </c>
      <c r="P98" s="46" t="s">
        <v>176</v>
      </c>
      <c r="Q98" s="46"/>
    </row>
  </sheetData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Y38"/>
  <sheetViews>
    <sheetView workbookViewId="0">
      <selection activeCell="F19" sqref="F19"/>
    </sheetView>
  </sheetViews>
  <sheetFormatPr baseColWidth="10" defaultRowHeight="16" x14ac:dyDescent="0.2"/>
  <cols>
    <col min="3" max="3" width="15.1640625" customWidth="1"/>
    <col min="6" max="6" width="15.83203125" customWidth="1"/>
    <col min="9" max="9" width="21.1640625" customWidth="1"/>
    <col min="19" max="19" width="13.1640625" customWidth="1"/>
  </cols>
  <sheetData>
    <row r="1" spans="1:25" x14ac:dyDescent="0.2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25" ht="18" x14ac:dyDescent="0.2">
      <c r="A2" s="53" t="s">
        <v>1178</v>
      </c>
      <c r="B2" s="8"/>
      <c r="C2" s="8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25" x14ac:dyDescent="0.2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25" ht="18" x14ac:dyDescent="0.2">
      <c r="A4" s="14" t="s">
        <v>235</v>
      </c>
      <c r="B4" s="14"/>
      <c r="C4" s="14"/>
      <c r="D4" s="14"/>
      <c r="E4" s="14"/>
      <c r="F4" s="14"/>
      <c r="G4" s="27"/>
      <c r="H4" s="27"/>
      <c r="I4" s="27"/>
      <c r="J4" s="27"/>
      <c r="K4" s="27"/>
      <c r="L4" s="27"/>
      <c r="M4" s="27"/>
      <c r="N4" s="27"/>
      <c r="O4" s="27"/>
    </row>
    <row r="5" spans="1:25" x14ac:dyDescent="0.2">
      <c r="A5" s="52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25" x14ac:dyDescent="0.2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</row>
    <row r="7" spans="1:25" x14ac:dyDescent="0.2">
      <c r="A7" s="27"/>
      <c r="B7" s="9"/>
      <c r="C7" s="9" t="s">
        <v>179</v>
      </c>
      <c r="D7" s="9"/>
      <c r="E7" s="9"/>
      <c r="F7" s="9"/>
      <c r="G7" s="9"/>
      <c r="H7" s="9"/>
      <c r="I7" s="9"/>
      <c r="J7" s="9" t="s">
        <v>236</v>
      </c>
      <c r="K7" s="9"/>
      <c r="L7" s="9"/>
      <c r="M7" s="9"/>
      <c r="N7" s="27"/>
      <c r="O7" s="27"/>
      <c r="T7" s="58"/>
      <c r="U7" s="58"/>
      <c r="V7" s="58"/>
      <c r="W7" s="58"/>
      <c r="X7" s="58"/>
      <c r="Y7" s="58"/>
    </row>
    <row r="8" spans="1:25" x14ac:dyDescent="0.2">
      <c r="A8" s="27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27"/>
      <c r="O8" s="27"/>
      <c r="T8" s="58"/>
      <c r="U8" s="302"/>
      <c r="V8" s="58"/>
      <c r="W8" s="58"/>
      <c r="X8" s="58"/>
      <c r="Y8" s="58"/>
    </row>
    <row r="9" spans="1:25" x14ac:dyDescent="0.2">
      <c r="A9" s="27"/>
      <c r="B9" s="9"/>
      <c r="C9" s="81" t="s">
        <v>1</v>
      </c>
      <c r="D9" s="81" t="s">
        <v>2</v>
      </c>
      <c r="E9" s="81" t="s">
        <v>3</v>
      </c>
      <c r="F9" s="81" t="s">
        <v>4</v>
      </c>
      <c r="G9" s="9"/>
      <c r="H9" s="9"/>
      <c r="I9" s="9"/>
      <c r="J9" s="81" t="s">
        <v>1</v>
      </c>
      <c r="K9" s="81" t="s">
        <v>2</v>
      </c>
      <c r="L9" s="81" t="s">
        <v>3</v>
      </c>
      <c r="M9" s="81" t="s">
        <v>4</v>
      </c>
      <c r="N9" s="27"/>
      <c r="O9" s="27"/>
      <c r="T9" s="293"/>
      <c r="U9" s="293"/>
      <c r="V9" s="293"/>
      <c r="W9" s="150"/>
      <c r="X9" s="58"/>
      <c r="Y9" s="58"/>
    </row>
    <row r="10" spans="1:25" x14ac:dyDescent="0.2">
      <c r="A10" s="27"/>
      <c r="B10" s="17" t="s">
        <v>237</v>
      </c>
      <c r="C10" s="82">
        <f>J10/$J$14*100</f>
        <v>3.7356321839080464</v>
      </c>
      <c r="D10" s="82">
        <f>K10/$K$14*100</f>
        <v>3.6619718309859155</v>
      </c>
      <c r="E10" s="82">
        <f>L10/$L$14*100</f>
        <v>3.080568720379147</v>
      </c>
      <c r="F10" s="82">
        <f>M10/$M$14*100</f>
        <v>1.1940298507462688</v>
      </c>
      <c r="G10" s="9"/>
      <c r="H10" s="9"/>
      <c r="I10" s="17" t="s">
        <v>237</v>
      </c>
      <c r="J10" s="17">
        <v>13</v>
      </c>
      <c r="K10" s="17">
        <v>13</v>
      </c>
      <c r="L10" s="17">
        <v>13</v>
      </c>
      <c r="M10" s="17">
        <v>4</v>
      </c>
      <c r="N10" s="27"/>
      <c r="O10" s="27"/>
      <c r="T10" s="229"/>
      <c r="U10" s="64"/>
      <c r="V10" s="149"/>
      <c r="W10" s="429"/>
      <c r="X10" s="142"/>
      <c r="Y10" s="142"/>
    </row>
    <row r="11" spans="1:25" x14ac:dyDescent="0.2">
      <c r="A11" s="27"/>
      <c r="B11" s="17" t="s">
        <v>238</v>
      </c>
      <c r="C11" s="82">
        <f>J11/$J$14*100</f>
        <v>42.241379310344826</v>
      </c>
      <c r="D11" s="82">
        <f t="shared" ref="D11:D13" si="0">K11/$K$14*100</f>
        <v>21.971830985915496</v>
      </c>
      <c r="E11" s="82">
        <f t="shared" ref="E11:E13" si="1">L11/$L$14*100</f>
        <v>34.834123222748815</v>
      </c>
      <c r="F11" s="82">
        <f t="shared" ref="F11:F13" si="2">M11/$M$14*100</f>
        <v>17.910447761194028</v>
      </c>
      <c r="G11" s="9"/>
      <c r="H11" s="9"/>
      <c r="I11" s="17" t="s">
        <v>238</v>
      </c>
      <c r="J11" s="17">
        <v>147</v>
      </c>
      <c r="K11" s="17">
        <v>78</v>
      </c>
      <c r="L11" s="17">
        <v>147</v>
      </c>
      <c r="M11" s="17">
        <v>60</v>
      </c>
      <c r="N11" s="27"/>
      <c r="O11" s="27"/>
      <c r="T11" s="58"/>
      <c r="U11" s="64"/>
      <c r="V11" s="149"/>
      <c r="W11" s="430"/>
      <c r="X11" s="403"/>
      <c r="Y11" s="403"/>
    </row>
    <row r="12" spans="1:25" x14ac:dyDescent="0.2">
      <c r="A12" s="27"/>
      <c r="B12" s="17" t="s">
        <v>239</v>
      </c>
      <c r="C12" s="82">
        <f>J12/$J$14*100</f>
        <v>35.632183908045981</v>
      </c>
      <c r="D12" s="82">
        <f t="shared" si="0"/>
        <v>30.704225352112672</v>
      </c>
      <c r="E12" s="82">
        <f t="shared" si="1"/>
        <v>27.962085308056871</v>
      </c>
      <c r="F12" s="82">
        <f t="shared" si="2"/>
        <v>38.507462686567159</v>
      </c>
      <c r="G12" s="9"/>
      <c r="H12" s="9"/>
      <c r="I12" s="17" t="s">
        <v>239</v>
      </c>
      <c r="J12" s="17">
        <v>124</v>
      </c>
      <c r="K12" s="17">
        <v>109</v>
      </c>
      <c r="L12" s="17">
        <v>118</v>
      </c>
      <c r="M12" s="17">
        <v>129</v>
      </c>
      <c r="N12" s="27"/>
      <c r="O12" s="27"/>
      <c r="T12" s="58"/>
      <c r="U12" s="64"/>
      <c r="V12" s="345"/>
      <c r="W12" s="429"/>
      <c r="X12" s="393"/>
      <c r="Y12" s="393"/>
    </row>
    <row r="13" spans="1:25" x14ac:dyDescent="0.2">
      <c r="A13" s="27"/>
      <c r="B13" s="17" t="s">
        <v>240</v>
      </c>
      <c r="C13" s="82">
        <f>J13/$J$14*100</f>
        <v>18.390804597701148</v>
      </c>
      <c r="D13" s="82">
        <f t="shared" si="0"/>
        <v>43.661971830985912</v>
      </c>
      <c r="E13" s="82">
        <f t="shared" si="1"/>
        <v>34.123222748815166</v>
      </c>
      <c r="F13" s="82">
        <f t="shared" si="2"/>
        <v>42.388059701492537</v>
      </c>
      <c r="G13" s="9"/>
      <c r="H13" s="9"/>
      <c r="I13" s="17" t="s">
        <v>240</v>
      </c>
      <c r="J13" s="17">
        <v>64</v>
      </c>
      <c r="K13" s="17">
        <v>155</v>
      </c>
      <c r="L13" s="17">
        <v>144</v>
      </c>
      <c r="M13" s="17">
        <v>142</v>
      </c>
      <c r="N13" s="27"/>
      <c r="O13" s="27"/>
      <c r="T13" s="58"/>
      <c r="U13" s="58"/>
      <c r="V13" s="303"/>
      <c r="W13" s="303"/>
      <c r="X13" s="303"/>
      <c r="Y13" s="303"/>
    </row>
    <row r="14" spans="1:25" x14ac:dyDescent="0.2">
      <c r="A14" s="27"/>
      <c r="B14" s="27"/>
      <c r="C14" s="27"/>
      <c r="D14" s="27"/>
      <c r="E14" s="27"/>
      <c r="F14" s="27"/>
      <c r="G14" s="9"/>
      <c r="H14" s="9"/>
      <c r="I14" s="17" t="s">
        <v>241</v>
      </c>
      <c r="J14" s="17">
        <v>348</v>
      </c>
      <c r="K14" s="17">
        <v>355</v>
      </c>
      <c r="L14" s="17">
        <v>422</v>
      </c>
      <c r="M14" s="17">
        <v>335</v>
      </c>
      <c r="N14" s="27"/>
      <c r="O14" s="27"/>
      <c r="T14" s="58"/>
      <c r="U14" s="58"/>
      <c r="V14" s="58"/>
      <c r="W14" s="58"/>
      <c r="X14" s="345"/>
      <c r="Y14" s="345"/>
    </row>
    <row r="15" spans="1:25" x14ac:dyDescent="0.2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</row>
    <row r="16" spans="1:25" x14ac:dyDescent="0.2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</row>
    <row r="17" spans="1:21" x14ac:dyDescent="0.2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</row>
    <row r="18" spans="1:21" x14ac:dyDescent="0.2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21" x14ac:dyDescent="0.2">
      <c r="A19" s="27"/>
      <c r="B19" s="27"/>
      <c r="C19" s="27"/>
      <c r="D19" s="27"/>
      <c r="E19" s="27"/>
      <c r="F19" s="27"/>
      <c r="G19" s="27"/>
      <c r="H19" s="27"/>
      <c r="I19" s="101"/>
      <c r="J19" s="101"/>
      <c r="K19" s="101"/>
      <c r="L19" s="101"/>
      <c r="M19" s="101"/>
      <c r="N19" s="101"/>
      <c r="O19" s="101"/>
      <c r="P19" s="58"/>
      <c r="Q19" s="58"/>
      <c r="R19" s="58"/>
      <c r="S19" s="58"/>
      <c r="T19" s="58"/>
      <c r="U19" s="58"/>
    </row>
    <row r="20" spans="1:21" x14ac:dyDescent="0.2">
      <c r="A20" s="27"/>
      <c r="B20" s="27"/>
      <c r="C20" s="27"/>
      <c r="D20" s="27"/>
      <c r="E20" s="27"/>
      <c r="F20" s="27"/>
      <c r="G20" s="27"/>
      <c r="H20" s="27"/>
      <c r="I20" s="101"/>
      <c r="J20" s="101"/>
      <c r="K20" s="499"/>
      <c r="L20" s="499"/>
      <c r="M20" s="101"/>
      <c r="N20" s="101"/>
      <c r="O20" s="101"/>
      <c r="P20" s="58"/>
      <c r="Q20" s="302"/>
      <c r="R20" s="58"/>
      <c r="S20" s="58"/>
      <c r="T20" s="58"/>
      <c r="U20" s="58"/>
    </row>
    <row r="21" spans="1:21" x14ac:dyDescent="0.2">
      <c r="A21" s="27"/>
      <c r="B21" s="27"/>
      <c r="C21" s="27"/>
      <c r="D21" s="27"/>
      <c r="E21" s="27"/>
      <c r="F21" s="27"/>
      <c r="G21" s="27"/>
      <c r="H21" s="27"/>
      <c r="I21" s="101"/>
      <c r="J21" s="101"/>
      <c r="K21" s="500"/>
      <c r="L21" s="500"/>
      <c r="M21" s="500"/>
      <c r="N21" s="101"/>
      <c r="O21" s="101"/>
      <c r="P21" s="293"/>
      <c r="Q21" s="293"/>
      <c r="R21" s="293"/>
      <c r="S21" s="150"/>
      <c r="T21" s="58"/>
      <c r="U21" s="58"/>
    </row>
    <row r="22" spans="1:21" x14ac:dyDescent="0.2">
      <c r="A22" s="27"/>
      <c r="B22" s="27"/>
      <c r="C22" s="27"/>
      <c r="D22" s="27"/>
      <c r="E22" s="27"/>
      <c r="F22" s="27"/>
      <c r="G22" s="27"/>
      <c r="H22" s="27"/>
      <c r="I22" s="458"/>
      <c r="J22" s="458"/>
      <c r="K22" s="101"/>
      <c r="L22" s="101"/>
      <c r="M22" s="464"/>
      <c r="N22" s="101"/>
      <c r="O22" s="101"/>
      <c r="P22" s="229"/>
      <c r="Q22" s="64"/>
      <c r="R22" s="149"/>
      <c r="S22" s="429"/>
      <c r="T22" s="142"/>
      <c r="U22" s="142"/>
    </row>
    <row r="23" spans="1:21" x14ac:dyDescent="0.2">
      <c r="A23" s="27"/>
      <c r="B23" s="27"/>
      <c r="C23" s="27"/>
      <c r="D23" s="27"/>
      <c r="E23" s="27"/>
      <c r="F23" s="27"/>
      <c r="G23" s="27"/>
      <c r="H23" s="27"/>
      <c r="I23" s="458"/>
      <c r="J23" s="458"/>
      <c r="K23" s="101"/>
      <c r="L23" s="101"/>
      <c r="M23" s="464"/>
      <c r="N23" s="101"/>
      <c r="O23" s="101"/>
      <c r="P23" s="58"/>
      <c r="Q23" s="58"/>
      <c r="R23" s="229"/>
      <c r="S23" s="58"/>
      <c r="T23" s="403"/>
      <c r="U23" s="403"/>
    </row>
    <row r="24" spans="1:21" x14ac:dyDescent="0.2">
      <c r="A24" s="27"/>
      <c r="B24" s="27"/>
      <c r="C24" s="27"/>
      <c r="D24" s="27"/>
      <c r="E24" s="27"/>
      <c r="F24" s="27"/>
      <c r="G24" s="27"/>
      <c r="H24" s="27"/>
      <c r="I24" s="458"/>
      <c r="J24" s="458"/>
      <c r="K24" s="101"/>
      <c r="L24" s="101"/>
      <c r="M24" s="464"/>
      <c r="N24" s="101"/>
      <c r="O24" s="101"/>
      <c r="P24" s="58"/>
      <c r="Q24" s="64"/>
      <c r="R24" s="149"/>
      <c r="S24" s="430"/>
      <c r="T24" s="393"/>
      <c r="U24" s="393"/>
    </row>
    <row r="25" spans="1:21" x14ac:dyDescent="0.2">
      <c r="A25" s="27"/>
      <c r="B25" s="27"/>
      <c r="C25" s="27"/>
      <c r="D25" s="27"/>
      <c r="E25" s="27"/>
      <c r="F25" s="27"/>
      <c r="G25" s="27"/>
      <c r="H25" s="27"/>
      <c r="I25" s="458"/>
      <c r="J25" s="458"/>
      <c r="K25" s="101"/>
      <c r="L25" s="101"/>
      <c r="M25" s="464"/>
      <c r="N25" s="101"/>
      <c r="O25" s="101"/>
      <c r="P25" s="58"/>
      <c r="Q25" s="58"/>
      <c r="R25" s="303"/>
      <c r="S25" s="303"/>
      <c r="T25" s="303"/>
      <c r="U25" s="303"/>
    </row>
    <row r="26" spans="1:21" x14ac:dyDescent="0.2">
      <c r="A26" s="27"/>
      <c r="B26" s="27"/>
      <c r="C26" s="27"/>
      <c r="D26" s="27"/>
      <c r="E26" s="27"/>
      <c r="F26" s="27"/>
      <c r="G26" s="27"/>
      <c r="H26" s="27"/>
      <c r="I26" s="458"/>
      <c r="J26" s="458"/>
      <c r="K26" s="101"/>
      <c r="L26" s="101"/>
      <c r="M26" s="464"/>
      <c r="N26" s="101"/>
      <c r="O26" s="101"/>
      <c r="P26" s="58"/>
      <c r="Q26" s="64"/>
      <c r="R26" s="345"/>
      <c r="S26" s="429"/>
      <c r="T26" s="345"/>
      <c r="U26" s="345"/>
    </row>
    <row r="27" spans="1:21" x14ac:dyDescent="0.2">
      <c r="A27" s="27"/>
      <c r="B27" s="27"/>
      <c r="C27" s="27"/>
      <c r="D27" s="27"/>
      <c r="E27" s="27"/>
      <c r="F27" s="27"/>
      <c r="G27" s="27"/>
      <c r="H27" s="27"/>
      <c r="I27" s="458"/>
      <c r="J27" s="458"/>
      <c r="K27" s="101"/>
      <c r="L27" s="101"/>
      <c r="M27" s="464"/>
      <c r="N27" s="101"/>
      <c r="O27" s="101"/>
      <c r="P27" s="58"/>
      <c r="Q27" s="58"/>
      <c r="R27" s="142"/>
      <c r="S27" s="142"/>
      <c r="T27" s="142"/>
      <c r="U27" s="142"/>
    </row>
    <row r="28" spans="1:21" x14ac:dyDescent="0.2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21" x14ac:dyDescent="0.2">
      <c r="A29" s="27"/>
      <c r="B29" s="27" t="s">
        <v>1030</v>
      </c>
      <c r="C29" s="27" t="s">
        <v>1031</v>
      </c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21" x14ac:dyDescent="0.2">
      <c r="A30" s="27"/>
      <c r="B30" s="27"/>
      <c r="C30" s="81" t="s">
        <v>1033</v>
      </c>
      <c r="D30" s="27"/>
      <c r="E30" s="27"/>
      <c r="F30" s="81" t="s">
        <v>1034</v>
      </c>
      <c r="G30" s="27"/>
      <c r="H30" s="27"/>
      <c r="I30" s="81" t="s">
        <v>1035</v>
      </c>
      <c r="J30" s="27"/>
      <c r="K30" s="27"/>
      <c r="L30" s="27"/>
      <c r="M30" s="27"/>
      <c r="N30" s="27"/>
      <c r="O30" s="27"/>
    </row>
    <row r="31" spans="1:21" x14ac:dyDescent="0.2">
      <c r="A31" s="27"/>
      <c r="B31" s="81"/>
      <c r="C31" s="428" t="s">
        <v>1032</v>
      </c>
      <c r="D31" s="428" t="s">
        <v>683</v>
      </c>
      <c r="E31" s="428" t="s">
        <v>48</v>
      </c>
      <c r="F31" s="428" t="s">
        <v>1032</v>
      </c>
      <c r="G31" s="428" t="s">
        <v>683</v>
      </c>
      <c r="H31" s="428" t="s">
        <v>48</v>
      </c>
      <c r="I31" s="428" t="s">
        <v>1032</v>
      </c>
      <c r="J31" s="428" t="s">
        <v>683</v>
      </c>
      <c r="K31" s="428" t="s">
        <v>48</v>
      </c>
      <c r="L31" s="27"/>
      <c r="M31" s="27"/>
      <c r="N31" s="27"/>
      <c r="O31" s="27"/>
    </row>
    <row r="32" spans="1:21" x14ac:dyDescent="0.2">
      <c r="A32" s="27"/>
      <c r="B32" s="17" t="s">
        <v>237</v>
      </c>
      <c r="C32" s="94">
        <v>3.0000000000000001E-3</v>
      </c>
      <c r="D32" s="62">
        <v>0.95599999999999996</v>
      </c>
      <c r="E32" s="501"/>
      <c r="F32" s="94">
        <v>3.0000000000000001E-3</v>
      </c>
      <c r="G32" s="62">
        <v>0.95599999999999996</v>
      </c>
      <c r="H32" s="501"/>
      <c r="I32" s="94">
        <v>4.5430000000000001</v>
      </c>
      <c r="J32" s="501">
        <v>3.3000000000000002E-2</v>
      </c>
      <c r="K32" s="501" t="s">
        <v>12</v>
      </c>
      <c r="L32" s="27"/>
      <c r="M32" s="27"/>
      <c r="N32" s="27"/>
      <c r="O32" s="27"/>
    </row>
    <row r="33" spans="1:15" x14ac:dyDescent="0.2">
      <c r="A33" s="27"/>
      <c r="B33" s="17" t="s">
        <v>238</v>
      </c>
      <c r="C33" s="501">
        <v>33.18</v>
      </c>
      <c r="D33" s="501" t="s">
        <v>691</v>
      </c>
      <c r="E33" s="501" t="s">
        <v>10</v>
      </c>
      <c r="F33" s="501">
        <v>10.551</v>
      </c>
      <c r="G33" s="501">
        <v>1.1000000000000001E-3</v>
      </c>
      <c r="H33" s="501" t="s">
        <v>11</v>
      </c>
      <c r="I33" s="501">
        <v>47.838999999999999</v>
      </c>
      <c r="J33" s="501" t="s">
        <v>1024</v>
      </c>
      <c r="K33" s="501" t="s">
        <v>10</v>
      </c>
      <c r="L33" s="27"/>
      <c r="M33" s="27"/>
      <c r="N33" s="27"/>
      <c r="O33" s="27"/>
    </row>
    <row r="34" spans="1:15" x14ac:dyDescent="0.2">
      <c r="A34" s="27"/>
      <c r="B34" s="17" t="s">
        <v>239</v>
      </c>
      <c r="C34" s="501">
        <v>1.9259999999999999</v>
      </c>
      <c r="D34" s="501">
        <v>0.16500000000000001</v>
      </c>
      <c r="E34" s="501"/>
      <c r="F34" s="501">
        <v>5.2060000000000004</v>
      </c>
      <c r="G34" s="501">
        <v>2.1999999999999999E-2</v>
      </c>
      <c r="H34" s="501" t="s">
        <v>12</v>
      </c>
      <c r="I34" s="501">
        <v>0.60499999999999998</v>
      </c>
      <c r="J34" s="501">
        <v>0.437</v>
      </c>
      <c r="K34" s="501"/>
      <c r="L34" s="27"/>
      <c r="M34" s="27"/>
      <c r="N34" s="27"/>
      <c r="O34" s="27"/>
    </row>
    <row r="35" spans="1:15" x14ac:dyDescent="0.2">
      <c r="A35" s="27"/>
      <c r="B35" s="17" t="s">
        <v>240</v>
      </c>
      <c r="C35" s="501">
        <v>52.326999999999998</v>
      </c>
      <c r="D35" s="501" t="s">
        <v>1024</v>
      </c>
      <c r="E35" s="501" t="s">
        <v>10</v>
      </c>
      <c r="F35" s="501">
        <v>23.943000000000001</v>
      </c>
      <c r="G35" s="501" t="s">
        <v>1024</v>
      </c>
      <c r="H35" s="501" t="s">
        <v>10</v>
      </c>
      <c r="I35" s="501">
        <v>46.531999999999996</v>
      </c>
      <c r="J35" s="501" t="s">
        <v>1024</v>
      </c>
      <c r="K35" s="501" t="s">
        <v>10</v>
      </c>
      <c r="L35" s="27"/>
      <c r="M35" s="27"/>
      <c r="N35" s="27"/>
      <c r="O35" s="27"/>
    </row>
    <row r="36" spans="1:15" x14ac:dyDescent="0.2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 x14ac:dyDescent="0.2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 x14ac:dyDescent="0.2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</sheetData>
  <pageMargins left="0.7" right="0.7" top="0.78740157499999996" bottom="0.78740157499999996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AA106"/>
  <sheetViews>
    <sheetView topLeftCell="B1" zoomScale="70" zoomScaleNormal="70" zoomScalePageLayoutView="70" workbookViewId="0">
      <selection activeCell="C14" activeCellId="1" sqref="C8:C10 C14:C16"/>
    </sheetView>
  </sheetViews>
  <sheetFormatPr baseColWidth="10" defaultRowHeight="16" x14ac:dyDescent="0.2"/>
  <cols>
    <col min="3" max="3" width="14.6640625" customWidth="1"/>
    <col min="5" max="5" width="15.83203125" customWidth="1"/>
    <col min="8" max="8" width="15.83203125" customWidth="1"/>
    <col min="10" max="10" width="12.6640625" customWidth="1"/>
    <col min="12" max="12" width="13.83203125" customWidth="1"/>
    <col min="13" max="13" width="17.83203125" customWidth="1"/>
    <col min="16" max="16" width="17.5" customWidth="1"/>
  </cols>
  <sheetData>
    <row r="2" spans="1:27" ht="18" x14ac:dyDescent="0.2">
      <c r="A2" s="53" t="s">
        <v>467</v>
      </c>
      <c r="B2" s="121"/>
    </row>
    <row r="4" spans="1:27" ht="18" x14ac:dyDescent="0.2">
      <c r="A4" s="53" t="s">
        <v>468</v>
      </c>
      <c r="B4" s="121"/>
      <c r="C4" s="121"/>
      <c r="D4" s="121"/>
    </row>
    <row r="6" spans="1:27" x14ac:dyDescent="0.2">
      <c r="D6" s="508" t="s">
        <v>443</v>
      </c>
      <c r="E6" s="509"/>
      <c r="F6" s="509"/>
      <c r="G6" s="510"/>
      <c r="H6" s="508" t="s">
        <v>444</v>
      </c>
      <c r="I6" s="509"/>
      <c r="J6" s="509"/>
      <c r="K6" s="510"/>
      <c r="L6" s="508" t="s">
        <v>445</v>
      </c>
      <c r="M6" s="509"/>
      <c r="N6" s="509"/>
      <c r="O6" s="510"/>
      <c r="P6" s="508" t="s">
        <v>446</v>
      </c>
      <c r="Q6" s="509"/>
      <c r="R6" s="509"/>
      <c r="S6" s="510"/>
      <c r="T6" s="508" t="s">
        <v>430</v>
      </c>
      <c r="U6" s="509"/>
      <c r="V6" s="509"/>
      <c r="W6" s="510"/>
    </row>
    <row r="7" spans="1:27" x14ac:dyDescent="0.2">
      <c r="C7" s="21"/>
      <c r="D7" s="18" t="s">
        <v>1</v>
      </c>
      <c r="E7" s="22" t="s">
        <v>2</v>
      </c>
      <c r="F7" s="22" t="s">
        <v>3</v>
      </c>
      <c r="G7" s="22" t="s">
        <v>4</v>
      </c>
      <c r="H7" s="18" t="s">
        <v>1</v>
      </c>
      <c r="I7" s="22" t="s">
        <v>2</v>
      </c>
      <c r="J7" s="22" t="s">
        <v>3</v>
      </c>
      <c r="K7" s="22" t="s">
        <v>4</v>
      </c>
      <c r="L7" s="18" t="s">
        <v>1</v>
      </c>
      <c r="M7" s="22" t="s">
        <v>2</v>
      </c>
      <c r="N7" s="22" t="s">
        <v>3</v>
      </c>
      <c r="O7" s="22" t="s">
        <v>4</v>
      </c>
      <c r="P7" s="18" t="s">
        <v>1</v>
      </c>
      <c r="Q7" s="22" t="s">
        <v>2</v>
      </c>
      <c r="R7" s="22" t="s">
        <v>3</v>
      </c>
      <c r="S7" s="22" t="s">
        <v>4</v>
      </c>
      <c r="T7" s="18" t="s">
        <v>1</v>
      </c>
      <c r="U7" s="22" t="s">
        <v>2</v>
      </c>
      <c r="V7" s="22" t="s">
        <v>3</v>
      </c>
      <c r="W7" s="22" t="s">
        <v>4</v>
      </c>
    </row>
    <row r="8" spans="1:27" x14ac:dyDescent="0.2">
      <c r="C8" s="454" t="s">
        <v>32</v>
      </c>
      <c r="D8" s="122">
        <v>68</v>
      </c>
      <c r="E8" s="122">
        <v>106</v>
      </c>
      <c r="F8" s="122">
        <v>39</v>
      </c>
      <c r="G8" s="122">
        <v>98</v>
      </c>
      <c r="H8" s="122">
        <v>31</v>
      </c>
      <c r="I8" s="122">
        <v>3</v>
      </c>
      <c r="J8" s="122">
        <v>32</v>
      </c>
      <c r="K8" s="122">
        <v>8</v>
      </c>
      <c r="L8" s="122">
        <v>11</v>
      </c>
      <c r="M8" s="122">
        <v>3</v>
      </c>
      <c r="N8" s="122">
        <v>25</v>
      </c>
      <c r="O8" s="122">
        <v>13</v>
      </c>
      <c r="P8" s="122">
        <v>13</v>
      </c>
      <c r="Q8" s="122">
        <v>1</v>
      </c>
      <c r="R8" s="122">
        <v>7</v>
      </c>
      <c r="S8" s="122">
        <v>7</v>
      </c>
      <c r="T8" s="122">
        <f>SUM(D8,H8,L8,P8)</f>
        <v>123</v>
      </c>
      <c r="U8" s="122">
        <f>SUM(E8,I8,M8,Q8)</f>
        <v>113</v>
      </c>
      <c r="V8" s="122">
        <f>SUM(F8,J8,N8,R8)</f>
        <v>103</v>
      </c>
      <c r="W8" s="122">
        <f>SUM(G8,K8,O8,S8)</f>
        <v>126</v>
      </c>
      <c r="X8" s="127"/>
      <c r="Y8" s="127"/>
      <c r="Z8" s="127"/>
      <c r="AA8" s="127"/>
    </row>
    <row r="9" spans="1:27" x14ac:dyDescent="0.2">
      <c r="C9" s="454" t="s">
        <v>33</v>
      </c>
      <c r="D9" s="122">
        <v>51</v>
      </c>
      <c r="E9" s="122">
        <v>103</v>
      </c>
      <c r="F9" s="122">
        <v>38</v>
      </c>
      <c r="G9" s="122">
        <v>99</v>
      </c>
      <c r="H9" s="122">
        <v>54</v>
      </c>
      <c r="I9" s="122">
        <v>0</v>
      </c>
      <c r="J9" s="122">
        <v>45</v>
      </c>
      <c r="K9" s="122">
        <v>2</v>
      </c>
      <c r="L9" s="122">
        <v>15</v>
      </c>
      <c r="M9" s="122">
        <v>11</v>
      </c>
      <c r="N9" s="122">
        <v>17</v>
      </c>
      <c r="O9" s="122">
        <v>6</v>
      </c>
      <c r="P9" s="122">
        <v>10</v>
      </c>
      <c r="Q9" s="122">
        <v>5</v>
      </c>
      <c r="R9" s="122">
        <v>11</v>
      </c>
      <c r="S9" s="122">
        <v>3</v>
      </c>
      <c r="T9" s="122">
        <f t="shared" ref="T9:W10" si="0">SUM(D9,H9,L9,P9)</f>
        <v>130</v>
      </c>
      <c r="U9" s="122">
        <f t="shared" si="0"/>
        <v>119</v>
      </c>
      <c r="V9" s="122">
        <f>SUM(F9,J9,N9,R9)</f>
        <v>111</v>
      </c>
      <c r="W9" s="122">
        <f t="shared" si="0"/>
        <v>110</v>
      </c>
      <c r="X9" s="127"/>
      <c r="Y9" s="127"/>
      <c r="Z9" s="127"/>
      <c r="AA9" s="127"/>
    </row>
    <row r="10" spans="1:27" x14ac:dyDescent="0.2">
      <c r="C10" s="454" t="s">
        <v>34</v>
      </c>
      <c r="D10" s="122">
        <v>47</v>
      </c>
      <c r="E10" s="122">
        <v>103</v>
      </c>
      <c r="F10" s="122">
        <v>25</v>
      </c>
      <c r="G10" s="122">
        <v>97</v>
      </c>
      <c r="H10" s="122">
        <v>36</v>
      </c>
      <c r="I10" s="122">
        <v>0</v>
      </c>
      <c r="J10" s="122">
        <v>51</v>
      </c>
      <c r="K10" s="122">
        <v>2</v>
      </c>
      <c r="L10" s="122">
        <v>9</v>
      </c>
      <c r="M10" s="122">
        <v>7</v>
      </c>
      <c r="N10" s="122">
        <v>19</v>
      </c>
      <c r="O10" s="122">
        <v>19</v>
      </c>
      <c r="P10" s="122">
        <v>24</v>
      </c>
      <c r="Q10" s="122">
        <v>5</v>
      </c>
      <c r="R10" s="122">
        <v>13</v>
      </c>
      <c r="S10" s="122">
        <v>3</v>
      </c>
      <c r="T10" s="122">
        <f>SUM(D10,H10,L10,P10)</f>
        <v>116</v>
      </c>
      <c r="U10" s="122">
        <f t="shared" si="0"/>
        <v>115</v>
      </c>
      <c r="V10" s="122">
        <f t="shared" si="0"/>
        <v>108</v>
      </c>
      <c r="W10" s="122">
        <f t="shared" si="0"/>
        <v>121</v>
      </c>
      <c r="X10" s="127"/>
      <c r="Y10" s="127"/>
      <c r="Z10" s="127"/>
      <c r="AA10" s="127"/>
    </row>
    <row r="11" spans="1:27" x14ac:dyDescent="0.2">
      <c r="C11" s="9"/>
      <c r="D11" s="9"/>
      <c r="E11" s="9"/>
      <c r="F11" s="9"/>
      <c r="G11" s="9"/>
      <c r="T11" s="83">
        <f>SUM(T8:T10)</f>
        <v>369</v>
      </c>
      <c r="U11" s="17">
        <f t="shared" ref="U11:W11" si="1">SUM(U8:U10)</f>
        <v>347</v>
      </c>
      <c r="V11" s="17">
        <f t="shared" si="1"/>
        <v>322</v>
      </c>
      <c r="W11" s="17">
        <f t="shared" si="1"/>
        <v>357</v>
      </c>
    </row>
    <row r="12" spans="1:27" x14ac:dyDescent="0.2">
      <c r="D12" s="508" t="s">
        <v>447</v>
      </c>
      <c r="E12" s="509"/>
      <c r="F12" s="509"/>
      <c r="G12" s="510"/>
      <c r="H12" s="508" t="s">
        <v>448</v>
      </c>
      <c r="I12" s="509"/>
      <c r="J12" s="509"/>
      <c r="K12" s="510"/>
      <c r="L12" s="508" t="s">
        <v>449</v>
      </c>
      <c r="M12" s="509"/>
      <c r="N12" s="509"/>
      <c r="O12" s="510"/>
      <c r="P12" s="508" t="s">
        <v>450</v>
      </c>
      <c r="Q12" s="509"/>
      <c r="R12" s="509"/>
      <c r="S12" s="510"/>
    </row>
    <row r="13" spans="1:27" x14ac:dyDescent="0.2">
      <c r="C13" s="21"/>
      <c r="D13" s="18" t="s">
        <v>1</v>
      </c>
      <c r="E13" s="22" t="s">
        <v>2</v>
      </c>
      <c r="F13" s="22" t="s">
        <v>3</v>
      </c>
      <c r="G13" s="22" t="s">
        <v>4</v>
      </c>
      <c r="H13" s="18" t="s">
        <v>1</v>
      </c>
      <c r="I13" s="22" t="s">
        <v>2</v>
      </c>
      <c r="J13" s="22" t="s">
        <v>3</v>
      </c>
      <c r="K13" s="22" t="s">
        <v>4</v>
      </c>
      <c r="L13" s="18" t="s">
        <v>1</v>
      </c>
      <c r="M13" s="22" t="s">
        <v>2</v>
      </c>
      <c r="N13" s="22" t="s">
        <v>3</v>
      </c>
      <c r="O13" s="22" t="s">
        <v>4</v>
      </c>
      <c r="P13" s="18" t="s">
        <v>1</v>
      </c>
      <c r="Q13" s="22" t="s">
        <v>2</v>
      </c>
      <c r="R13" s="22" t="s">
        <v>3</v>
      </c>
      <c r="S13" s="22" t="s">
        <v>4</v>
      </c>
    </row>
    <row r="14" spans="1:27" x14ac:dyDescent="0.2">
      <c r="C14" s="454" t="s">
        <v>32</v>
      </c>
      <c r="D14" s="123">
        <f t="shared" ref="D14:G16" si="2">D8*100/T8</f>
        <v>55.284552845528452</v>
      </c>
      <c r="E14" s="123">
        <f t="shared" si="2"/>
        <v>93.805309734513273</v>
      </c>
      <c r="F14" s="123">
        <f t="shared" si="2"/>
        <v>37.864077669902912</v>
      </c>
      <c r="G14" s="123">
        <f t="shared" si="2"/>
        <v>77.777777777777771</v>
      </c>
      <c r="H14" s="123">
        <f t="shared" ref="H14:K16" si="3">H8*100/T8</f>
        <v>25.203252032520325</v>
      </c>
      <c r="I14" s="123">
        <f t="shared" si="3"/>
        <v>2.6548672566371683</v>
      </c>
      <c r="J14" s="123">
        <f t="shared" si="3"/>
        <v>31.067961165048544</v>
      </c>
      <c r="K14" s="123">
        <f t="shared" si="3"/>
        <v>6.3492063492063489</v>
      </c>
      <c r="L14" s="4">
        <f>L8*100/T8</f>
        <v>8.9430894308943092</v>
      </c>
      <c r="M14" s="4">
        <f t="shared" ref="M14:O16" si="4">M8*100/U8</f>
        <v>2.6548672566371683</v>
      </c>
      <c r="N14" s="4">
        <f t="shared" si="4"/>
        <v>24.271844660194176</v>
      </c>
      <c r="O14" s="123">
        <f t="shared" si="4"/>
        <v>10.317460317460318</v>
      </c>
      <c r="P14" s="123">
        <f>P8*100/T8</f>
        <v>10.56910569105691</v>
      </c>
      <c r="Q14" s="4">
        <f t="shared" ref="Q14:S16" si="5">Q8*100/U8</f>
        <v>0.88495575221238942</v>
      </c>
      <c r="R14" s="123">
        <f t="shared" si="5"/>
        <v>6.7961165048543686</v>
      </c>
      <c r="S14" s="123">
        <f t="shared" si="5"/>
        <v>5.5555555555555554</v>
      </c>
      <c r="U14" s="128"/>
    </row>
    <row r="15" spans="1:27" x14ac:dyDescent="0.2">
      <c r="C15" s="454" t="s">
        <v>33</v>
      </c>
      <c r="D15" s="123">
        <f t="shared" si="2"/>
        <v>39.230769230769234</v>
      </c>
      <c r="E15" s="123">
        <f t="shared" si="2"/>
        <v>86.554621848739501</v>
      </c>
      <c r="F15" s="123">
        <f t="shared" si="2"/>
        <v>34.234234234234236</v>
      </c>
      <c r="G15" s="123">
        <f t="shared" si="2"/>
        <v>90</v>
      </c>
      <c r="H15" s="123">
        <f t="shared" si="3"/>
        <v>41.53846153846154</v>
      </c>
      <c r="I15" s="123">
        <f t="shared" si="3"/>
        <v>0</v>
      </c>
      <c r="J15" s="123">
        <f t="shared" si="3"/>
        <v>40.54054054054054</v>
      </c>
      <c r="K15" s="123">
        <f t="shared" si="3"/>
        <v>1.8181818181818181</v>
      </c>
      <c r="L15" s="4">
        <f>L9*100/T9</f>
        <v>11.538461538461538</v>
      </c>
      <c r="M15" s="4">
        <f t="shared" si="4"/>
        <v>9.2436974789915958</v>
      </c>
      <c r="N15" s="4">
        <f t="shared" si="4"/>
        <v>15.315315315315315</v>
      </c>
      <c r="O15" s="4">
        <f t="shared" si="4"/>
        <v>5.4545454545454541</v>
      </c>
      <c r="P15" s="123">
        <f t="shared" ref="P15:P16" si="6">P9*100/T9</f>
        <v>7.6923076923076925</v>
      </c>
      <c r="Q15" s="4">
        <f t="shared" si="5"/>
        <v>4.2016806722689077</v>
      </c>
      <c r="R15" s="123">
        <f t="shared" si="5"/>
        <v>9.9099099099099099</v>
      </c>
      <c r="S15" s="123">
        <f t="shared" si="5"/>
        <v>2.7272727272727271</v>
      </c>
      <c r="U15" s="128"/>
    </row>
    <row r="16" spans="1:27" x14ac:dyDescent="0.2">
      <c r="C16" s="454" t="s">
        <v>34</v>
      </c>
      <c r="D16" s="123">
        <f t="shared" si="2"/>
        <v>40.517241379310342</v>
      </c>
      <c r="E16" s="123">
        <f t="shared" si="2"/>
        <v>89.565217391304344</v>
      </c>
      <c r="F16" s="123">
        <f t="shared" si="2"/>
        <v>23.148148148148149</v>
      </c>
      <c r="G16" s="123">
        <f t="shared" si="2"/>
        <v>80.165289256198349</v>
      </c>
      <c r="H16" s="123">
        <f t="shared" si="3"/>
        <v>31.03448275862069</v>
      </c>
      <c r="I16" s="123">
        <f t="shared" si="3"/>
        <v>0</v>
      </c>
      <c r="J16" s="123">
        <f t="shared" si="3"/>
        <v>47.222222222222221</v>
      </c>
      <c r="K16" s="123">
        <f t="shared" si="3"/>
        <v>1.6528925619834711</v>
      </c>
      <c r="L16" s="4">
        <f t="shared" ref="L16" si="7">L10*100/T10</f>
        <v>7.7586206896551726</v>
      </c>
      <c r="M16" s="4">
        <f t="shared" si="4"/>
        <v>6.0869565217391308</v>
      </c>
      <c r="N16" s="4">
        <f t="shared" si="4"/>
        <v>17.592592592592592</v>
      </c>
      <c r="O16" s="4">
        <f t="shared" si="4"/>
        <v>15.702479338842975</v>
      </c>
      <c r="P16" s="123">
        <f t="shared" si="6"/>
        <v>20.689655172413794</v>
      </c>
      <c r="Q16" s="4">
        <f t="shared" si="5"/>
        <v>4.3478260869565215</v>
      </c>
      <c r="R16" s="123">
        <f t="shared" si="5"/>
        <v>12.037037037037036</v>
      </c>
      <c r="S16" s="123">
        <f t="shared" si="5"/>
        <v>2.4793388429752068</v>
      </c>
      <c r="U16" s="128"/>
    </row>
    <row r="17" spans="1:22" x14ac:dyDescent="0.2">
      <c r="C17" s="95"/>
    </row>
    <row r="18" spans="1:22" x14ac:dyDescent="0.2">
      <c r="C18" s="17" t="s">
        <v>51</v>
      </c>
      <c r="D18" s="82">
        <f>AVERAGE(D14:D16)</f>
        <v>45.010854485202678</v>
      </c>
      <c r="E18" s="17">
        <f>AVERAGE(E14:E16)</f>
        <v>89.975049658185711</v>
      </c>
      <c r="F18" s="17">
        <f t="shared" ref="F18:K18" si="8">AVERAGE(F14:F16)</f>
        <v>31.748820017428432</v>
      </c>
      <c r="G18" s="17">
        <f t="shared" si="8"/>
        <v>82.647689011325369</v>
      </c>
      <c r="H18" s="17">
        <f t="shared" si="8"/>
        <v>32.592065443200852</v>
      </c>
      <c r="I18" s="17">
        <f t="shared" si="8"/>
        <v>0.88495575221238942</v>
      </c>
      <c r="J18" s="17">
        <f t="shared" si="8"/>
        <v>39.610241309270435</v>
      </c>
      <c r="K18" s="17">
        <f t="shared" si="8"/>
        <v>3.2734269097905457</v>
      </c>
      <c r="L18" s="17">
        <f>AVERAGE(L14:L16)</f>
        <v>9.4133905530036728</v>
      </c>
      <c r="M18" s="17">
        <f t="shared" ref="M18:S18" si="9">AVERAGE(M14:M16)</f>
        <v>5.9951737524559645</v>
      </c>
      <c r="N18" s="17">
        <f t="shared" si="9"/>
        <v>19.059917522700697</v>
      </c>
      <c r="O18" s="17">
        <f t="shared" si="9"/>
        <v>10.491495036949582</v>
      </c>
      <c r="P18" s="17">
        <f t="shared" si="9"/>
        <v>12.983689518592797</v>
      </c>
      <c r="Q18" s="17">
        <f t="shared" si="9"/>
        <v>3.1448208371459394</v>
      </c>
      <c r="R18" s="17">
        <f t="shared" si="9"/>
        <v>9.5810211506004368</v>
      </c>
      <c r="S18" s="17">
        <f t="shared" si="9"/>
        <v>3.5873890419344963</v>
      </c>
    </row>
    <row r="19" spans="1:22" x14ac:dyDescent="0.2">
      <c r="C19" s="17" t="s">
        <v>13</v>
      </c>
      <c r="D19" s="17">
        <f>STDEV(D14:D16)</f>
        <v>8.9205050948062059</v>
      </c>
      <c r="E19" s="17">
        <f t="shared" ref="E19:S19" si="10">STDEV(E14:E16)</f>
        <v>3.6426762921593059</v>
      </c>
      <c r="F19" s="17">
        <f t="shared" si="10"/>
        <v>7.6663295190161591</v>
      </c>
      <c r="G19" s="17">
        <f t="shared" si="10"/>
        <v>6.4782258698301618</v>
      </c>
      <c r="H19" s="17">
        <f t="shared" si="10"/>
        <v>8.2782434891241223</v>
      </c>
      <c r="I19" s="17">
        <f t="shared" si="10"/>
        <v>1.5327883252821926</v>
      </c>
      <c r="J19" s="17">
        <f t="shared" si="10"/>
        <v>8.117211964129428</v>
      </c>
      <c r="K19" s="17">
        <f t="shared" si="10"/>
        <v>2.6649848976126291</v>
      </c>
      <c r="L19" s="17">
        <f t="shared" si="10"/>
        <v>1.9333097448855181</v>
      </c>
      <c r="M19" s="17">
        <f t="shared" si="10"/>
        <v>3.2953738759518232</v>
      </c>
      <c r="N19" s="17">
        <f t="shared" si="10"/>
        <v>4.6550656616535973</v>
      </c>
      <c r="O19" s="17">
        <f t="shared" si="10"/>
        <v>5.1261831109436686</v>
      </c>
      <c r="P19" s="17">
        <f t="shared" si="10"/>
        <v>6.8268163645145403</v>
      </c>
      <c r="Q19" s="17">
        <f t="shared" si="10"/>
        <v>1.9584642636859244</v>
      </c>
      <c r="R19" s="17">
        <f t="shared" si="10"/>
        <v>2.6358941306819519</v>
      </c>
      <c r="S19" s="17">
        <f t="shared" si="10"/>
        <v>1.7089843099777644</v>
      </c>
    </row>
    <row r="20" spans="1:22" x14ac:dyDescent="0.2">
      <c r="C20" s="17" t="s">
        <v>14</v>
      </c>
      <c r="D20" s="17">
        <f>D19/SQRT(3)</f>
        <v>5.1502560177937911</v>
      </c>
      <c r="E20" s="17">
        <f t="shared" ref="E20:S20" si="11">E19/SQRT(3)</f>
        <v>2.1031001378488434</v>
      </c>
      <c r="F20" s="17">
        <f t="shared" si="11"/>
        <v>4.4261574115003537</v>
      </c>
      <c r="G20" s="17">
        <f t="shared" si="11"/>
        <v>3.7402054498176418</v>
      </c>
      <c r="H20" s="17">
        <f t="shared" si="11"/>
        <v>4.7794461068630794</v>
      </c>
      <c r="I20" s="17">
        <f t="shared" si="11"/>
        <v>0.88495575221238953</v>
      </c>
      <c r="J20" s="17">
        <f t="shared" si="11"/>
        <v>4.6864745125593767</v>
      </c>
      <c r="K20" s="17">
        <f t="shared" si="11"/>
        <v>1.5386297480229387</v>
      </c>
      <c r="L20" s="17">
        <f t="shared" si="11"/>
        <v>1.1161969016365807</v>
      </c>
      <c r="M20" s="17">
        <f t="shared" si="11"/>
        <v>1.9025849943612456</v>
      </c>
      <c r="N20" s="17">
        <f t="shared" si="11"/>
        <v>2.6876034128510877</v>
      </c>
      <c r="O20" s="17">
        <f t="shared" si="11"/>
        <v>2.9596031990186407</v>
      </c>
      <c r="P20" s="17">
        <f t="shared" si="11"/>
        <v>3.9414642657606125</v>
      </c>
      <c r="Q20" s="17">
        <f t="shared" si="11"/>
        <v>1.1307198698373306</v>
      </c>
      <c r="R20" s="17">
        <f t="shared" si="11"/>
        <v>1.5218341859045796</v>
      </c>
      <c r="S20" s="17">
        <f t="shared" si="11"/>
        <v>0.98668255140650918</v>
      </c>
    </row>
    <row r="22" spans="1:22" x14ac:dyDescent="0.2">
      <c r="C22" s="129"/>
    </row>
    <row r="23" spans="1:22" ht="18" x14ac:dyDescent="0.2">
      <c r="A23" s="52" t="s">
        <v>451</v>
      </c>
      <c r="B23" s="9"/>
      <c r="C23" s="19" t="s">
        <v>52</v>
      </c>
      <c r="D23" s="20"/>
      <c r="E23" s="20"/>
      <c r="F23" s="20"/>
      <c r="G23" s="20"/>
      <c r="H23" s="9"/>
      <c r="K23" s="135"/>
      <c r="L23" s="66"/>
      <c r="M23" s="66"/>
      <c r="N23" s="66"/>
      <c r="O23" s="66"/>
      <c r="P23" s="66"/>
    </row>
    <row r="24" spans="1:22" x14ac:dyDescent="0.2">
      <c r="B24" s="9"/>
      <c r="C24" s="9"/>
      <c r="D24" s="9"/>
      <c r="E24" s="9"/>
      <c r="F24" s="9"/>
      <c r="G24" s="9"/>
      <c r="H24" s="9"/>
      <c r="K24" s="66"/>
      <c r="L24" s="66"/>
      <c r="M24" s="66"/>
      <c r="N24" s="66"/>
      <c r="O24" s="66"/>
      <c r="P24" s="66"/>
    </row>
    <row r="25" spans="1:22" x14ac:dyDescent="0.2">
      <c r="A25" s="66"/>
      <c r="B25" s="42"/>
      <c r="C25" s="15" t="s">
        <v>53</v>
      </c>
      <c r="D25" s="49"/>
      <c r="E25" s="66"/>
      <c r="F25" s="66"/>
      <c r="G25" s="66"/>
      <c r="H25" s="66"/>
      <c r="J25" s="130"/>
      <c r="K25" s="66"/>
      <c r="L25" s="66"/>
      <c r="M25" s="66"/>
      <c r="N25" s="66"/>
      <c r="O25" s="66"/>
      <c r="P25" s="66"/>
      <c r="S25" s="125"/>
      <c r="T25" s="125"/>
      <c r="U25" s="125"/>
      <c r="V25" s="125"/>
    </row>
    <row r="26" spans="1:22" x14ac:dyDescent="0.2">
      <c r="A26" s="66"/>
      <c r="B26" s="42"/>
      <c r="C26" s="131" t="s">
        <v>0</v>
      </c>
      <c r="D26" s="66"/>
      <c r="E26" s="66"/>
      <c r="F26" s="49"/>
      <c r="G26" s="50">
        <v>49.84</v>
      </c>
      <c r="H26" s="66"/>
      <c r="J26" s="131"/>
      <c r="K26" s="66"/>
      <c r="L26" s="66"/>
      <c r="M26" s="66"/>
      <c r="N26" s="66"/>
      <c r="O26" s="66"/>
      <c r="P26" s="66"/>
      <c r="S26" s="125"/>
      <c r="T26" s="125"/>
      <c r="U26" s="125"/>
      <c r="V26" s="125"/>
    </row>
    <row r="27" spans="1:22" x14ac:dyDescent="0.2">
      <c r="A27" s="66"/>
      <c r="B27" s="42"/>
      <c r="C27" s="131" t="s">
        <v>36</v>
      </c>
      <c r="D27" s="66"/>
      <c r="E27" s="66"/>
      <c r="F27" s="50"/>
      <c r="G27" s="50" t="s">
        <v>176</v>
      </c>
      <c r="H27" s="66"/>
      <c r="J27" s="131"/>
      <c r="K27" s="66"/>
      <c r="L27" s="66"/>
      <c r="M27" s="66"/>
      <c r="N27" s="66"/>
      <c r="O27" s="66"/>
      <c r="P27" s="66"/>
      <c r="S27" s="125"/>
      <c r="T27" s="125"/>
      <c r="U27" s="125"/>
      <c r="V27" s="125"/>
    </row>
    <row r="28" spans="1:22" x14ac:dyDescent="0.2">
      <c r="A28" s="66"/>
      <c r="B28" s="42"/>
      <c r="C28" s="131" t="s">
        <v>37</v>
      </c>
      <c r="D28" s="66"/>
      <c r="E28" s="66"/>
      <c r="F28" s="50"/>
      <c r="G28" s="50" t="s">
        <v>10</v>
      </c>
      <c r="H28" s="66"/>
      <c r="J28" s="131"/>
      <c r="K28" s="66"/>
      <c r="L28" s="66"/>
      <c r="M28" s="66"/>
      <c r="N28" s="66"/>
      <c r="O28" s="66"/>
      <c r="P28" s="66"/>
      <c r="S28" s="125"/>
      <c r="T28" s="125"/>
      <c r="U28" s="125"/>
      <c r="V28" s="125"/>
    </row>
    <row r="29" spans="1:22" x14ac:dyDescent="0.2">
      <c r="A29" s="66"/>
      <c r="B29" s="42"/>
      <c r="C29" s="131" t="s">
        <v>54</v>
      </c>
      <c r="D29" s="66"/>
      <c r="E29" s="66"/>
      <c r="F29" s="50"/>
      <c r="G29" s="50" t="s">
        <v>41</v>
      </c>
      <c r="H29" s="66"/>
      <c r="J29" s="131"/>
      <c r="K29" s="66"/>
      <c r="L29" s="66"/>
      <c r="M29" s="66"/>
      <c r="N29" s="66"/>
      <c r="O29" s="66"/>
      <c r="P29" s="66"/>
    </row>
    <row r="30" spans="1:22" x14ac:dyDescent="0.2">
      <c r="A30" s="66"/>
      <c r="B30" s="42"/>
      <c r="C30" s="131" t="s">
        <v>55</v>
      </c>
      <c r="D30" s="66"/>
      <c r="E30" s="66"/>
      <c r="F30" s="49"/>
      <c r="G30" s="50">
        <v>0.94920000000000004</v>
      </c>
      <c r="H30" s="66"/>
      <c r="J30" s="131"/>
      <c r="K30" s="66"/>
      <c r="L30" s="66"/>
      <c r="M30" s="66"/>
      <c r="N30" s="66"/>
      <c r="O30" s="66"/>
      <c r="P30" s="66"/>
    </row>
    <row r="31" spans="1:22" x14ac:dyDescent="0.2">
      <c r="A31" s="66"/>
      <c r="B31" s="42"/>
      <c r="C31" s="66"/>
      <c r="D31" s="66"/>
      <c r="E31" s="66"/>
      <c r="F31" s="66"/>
      <c r="G31" s="66"/>
      <c r="H31" s="66"/>
      <c r="J31" s="66"/>
      <c r="K31" s="66"/>
      <c r="L31" s="66"/>
      <c r="M31" s="66"/>
      <c r="N31" s="66"/>
      <c r="O31" s="66"/>
      <c r="P31" s="66"/>
    </row>
    <row r="32" spans="1:22" x14ac:dyDescent="0.2">
      <c r="A32" s="66"/>
      <c r="B32" s="42"/>
      <c r="C32" s="130" t="s">
        <v>44</v>
      </c>
      <c r="D32" s="98"/>
      <c r="E32" s="98"/>
      <c r="F32" s="98"/>
      <c r="G32" s="98"/>
      <c r="H32" s="133"/>
      <c r="I32" s="76"/>
      <c r="J32" s="130"/>
      <c r="K32" s="66"/>
      <c r="L32" s="66"/>
      <c r="M32" s="66"/>
      <c r="N32" s="66"/>
      <c r="O32" s="66"/>
      <c r="P32" s="66"/>
    </row>
    <row r="33" spans="1:22" x14ac:dyDescent="0.2">
      <c r="A33" s="66"/>
      <c r="B33" s="42"/>
      <c r="C33" s="133"/>
      <c r="D33" s="136" t="s">
        <v>45</v>
      </c>
      <c r="E33" s="136" t="s">
        <v>46</v>
      </c>
      <c r="F33" s="136" t="s">
        <v>47</v>
      </c>
      <c r="G33" s="136" t="s">
        <v>48</v>
      </c>
      <c r="H33" s="136" t="s">
        <v>5</v>
      </c>
      <c r="I33" s="76"/>
      <c r="J33" s="98"/>
      <c r="K33" s="66"/>
      <c r="L33" s="66"/>
      <c r="M33" s="66"/>
      <c r="N33" s="66"/>
      <c r="O33" s="66"/>
      <c r="P33" s="66"/>
    </row>
    <row r="34" spans="1:22" x14ac:dyDescent="0.2">
      <c r="A34" s="66"/>
      <c r="B34" s="42"/>
      <c r="C34" s="131" t="s">
        <v>6</v>
      </c>
      <c r="D34" s="49">
        <v>-44.96</v>
      </c>
      <c r="E34" s="49" t="s">
        <v>455</v>
      </c>
      <c r="F34" s="49" t="s">
        <v>41</v>
      </c>
      <c r="G34" s="49" t="s">
        <v>10</v>
      </c>
      <c r="H34" s="49">
        <v>1E-4</v>
      </c>
      <c r="I34" s="126"/>
      <c r="J34" s="131"/>
      <c r="K34" s="66"/>
      <c r="L34" s="66"/>
      <c r="M34" s="66"/>
      <c r="N34" s="66"/>
      <c r="O34" s="66"/>
      <c r="P34" s="66"/>
    </row>
    <row r="35" spans="1:22" x14ac:dyDescent="0.2">
      <c r="A35" s="66"/>
      <c r="B35" s="42"/>
      <c r="C35" s="131" t="s">
        <v>7</v>
      </c>
      <c r="D35" s="49">
        <v>13.26</v>
      </c>
      <c r="E35" s="49" t="s">
        <v>456</v>
      </c>
      <c r="F35" s="49" t="s">
        <v>49</v>
      </c>
      <c r="G35" s="49" t="s">
        <v>9</v>
      </c>
      <c r="H35" s="49">
        <v>0.11219999999999999</v>
      </c>
      <c r="I35" s="126"/>
      <c r="J35" s="131"/>
      <c r="K35" s="66"/>
      <c r="L35" s="66"/>
      <c r="M35" s="66"/>
      <c r="N35" s="66"/>
      <c r="O35" s="66"/>
      <c r="P35" s="66"/>
    </row>
    <row r="36" spans="1:22" x14ac:dyDescent="0.2">
      <c r="A36" s="66"/>
      <c r="B36" s="42"/>
      <c r="C36" s="131" t="s">
        <v>8</v>
      </c>
      <c r="D36" s="49">
        <v>-37.64</v>
      </c>
      <c r="E36" s="49" t="s">
        <v>457</v>
      </c>
      <c r="F36" s="49" t="s">
        <v>41</v>
      </c>
      <c r="G36" s="49" t="s">
        <v>10</v>
      </c>
      <c r="H36" s="49">
        <v>4.0000000000000002E-4</v>
      </c>
      <c r="I36" s="126"/>
      <c r="J36" s="131"/>
      <c r="K36" s="66"/>
      <c r="L36" s="66"/>
      <c r="M36" s="66"/>
      <c r="N36" s="66"/>
      <c r="O36" s="66"/>
      <c r="P36" s="66"/>
    </row>
    <row r="37" spans="1:22" x14ac:dyDescent="0.2">
      <c r="A37" s="66"/>
      <c r="B37" s="66"/>
      <c r="C37" s="131"/>
      <c r="D37" s="49"/>
      <c r="E37" s="49"/>
      <c r="F37" s="49"/>
      <c r="G37" s="49"/>
      <c r="H37" s="50"/>
      <c r="I37" s="126"/>
      <c r="J37" s="66"/>
      <c r="K37" s="66"/>
      <c r="L37" s="66"/>
      <c r="M37" s="66"/>
      <c r="N37" s="66"/>
      <c r="O37" s="66"/>
      <c r="P37" s="66"/>
    </row>
    <row r="38" spans="1:22" x14ac:dyDescent="0.2">
      <c r="A38" s="66"/>
      <c r="B38" s="66"/>
      <c r="C38" s="66"/>
      <c r="D38" s="66"/>
      <c r="E38" s="66"/>
      <c r="F38" s="66"/>
      <c r="G38" s="66"/>
      <c r="H38" s="66"/>
      <c r="J38" s="66"/>
      <c r="K38" s="66"/>
      <c r="L38" s="66"/>
      <c r="M38" s="66"/>
      <c r="N38" s="66"/>
      <c r="O38" s="66"/>
      <c r="P38" s="66"/>
    </row>
    <row r="39" spans="1:22" ht="18" x14ac:dyDescent="0.2">
      <c r="A39" s="137" t="s">
        <v>452</v>
      </c>
      <c r="B39" s="66"/>
      <c r="C39" s="19" t="s">
        <v>52</v>
      </c>
      <c r="D39" s="20"/>
      <c r="E39" s="20"/>
      <c r="F39" s="20"/>
      <c r="G39" s="20"/>
      <c r="H39" s="66"/>
      <c r="J39" s="66"/>
      <c r="K39" s="66"/>
      <c r="L39" s="66"/>
      <c r="M39" s="66"/>
      <c r="N39" s="66"/>
      <c r="O39" s="66"/>
      <c r="P39" s="66"/>
      <c r="S39" s="97"/>
      <c r="T39" s="97"/>
      <c r="U39" s="97"/>
      <c r="V39" s="97"/>
    </row>
    <row r="40" spans="1:22" x14ac:dyDescent="0.2">
      <c r="A40" s="66"/>
      <c r="B40" s="66"/>
      <c r="C40" s="66"/>
      <c r="D40" s="66"/>
      <c r="E40" s="66"/>
      <c r="F40" s="66"/>
      <c r="G40" s="66"/>
      <c r="H40" s="66"/>
      <c r="J40" s="66"/>
      <c r="K40" s="66"/>
      <c r="L40" s="66"/>
      <c r="M40" s="66"/>
      <c r="N40" s="66"/>
      <c r="O40" s="66"/>
      <c r="P40" s="66"/>
      <c r="S40" s="97"/>
      <c r="T40" s="97"/>
      <c r="U40" s="97"/>
      <c r="V40" s="97"/>
    </row>
    <row r="41" spans="1:22" x14ac:dyDescent="0.2">
      <c r="A41" s="66"/>
      <c r="B41" s="66"/>
      <c r="C41" s="15" t="s">
        <v>53</v>
      </c>
      <c r="D41" s="49"/>
      <c r="E41" s="66"/>
      <c r="F41" s="66"/>
      <c r="G41" s="66"/>
      <c r="H41" s="66"/>
      <c r="J41" s="130"/>
      <c r="K41" s="66"/>
      <c r="L41" s="66"/>
      <c r="M41" s="66"/>
      <c r="N41" s="66"/>
      <c r="O41" s="66"/>
      <c r="P41" s="66"/>
      <c r="S41" s="97"/>
      <c r="T41" s="97"/>
      <c r="U41" s="97"/>
      <c r="V41" s="97"/>
    </row>
    <row r="42" spans="1:22" x14ac:dyDescent="0.2">
      <c r="A42" s="66"/>
      <c r="B42" s="66"/>
      <c r="C42" s="131" t="s">
        <v>0</v>
      </c>
      <c r="D42" s="66"/>
      <c r="E42" s="66"/>
      <c r="F42" s="50"/>
      <c r="G42" s="50">
        <v>32.950000000000003</v>
      </c>
      <c r="H42" s="66"/>
      <c r="J42" s="131"/>
      <c r="K42" s="66"/>
      <c r="L42" s="66"/>
      <c r="M42" s="66"/>
      <c r="N42" s="66"/>
      <c r="O42" s="66"/>
      <c r="P42" s="66"/>
      <c r="S42" s="97"/>
      <c r="T42" s="97"/>
      <c r="U42" s="97"/>
      <c r="V42" s="97"/>
    </row>
    <row r="43" spans="1:22" x14ac:dyDescent="0.2">
      <c r="A43" s="66"/>
      <c r="B43" s="66"/>
      <c r="C43" s="131" t="s">
        <v>36</v>
      </c>
      <c r="D43" s="66"/>
      <c r="E43" s="66"/>
      <c r="F43" s="50"/>
      <c r="G43" s="50" t="s">
        <v>176</v>
      </c>
      <c r="H43" s="66"/>
      <c r="J43" s="131"/>
      <c r="K43" s="66"/>
      <c r="L43" s="66"/>
      <c r="M43" s="66"/>
      <c r="N43" s="66"/>
      <c r="O43" s="66"/>
      <c r="P43" s="66"/>
    </row>
    <row r="44" spans="1:22" x14ac:dyDescent="0.2">
      <c r="A44" s="66"/>
      <c r="B44" s="66"/>
      <c r="C44" s="131" t="s">
        <v>37</v>
      </c>
      <c r="D44" s="66"/>
      <c r="E44" s="66"/>
      <c r="F44" s="50"/>
      <c r="G44" s="50" t="s">
        <v>10</v>
      </c>
      <c r="H44" s="66"/>
      <c r="J44" s="131"/>
      <c r="K44" s="66"/>
      <c r="L44" s="66"/>
      <c r="M44" s="66"/>
      <c r="N44" s="66"/>
      <c r="O44" s="66"/>
      <c r="P44" s="66"/>
    </row>
    <row r="45" spans="1:22" x14ac:dyDescent="0.2">
      <c r="A45" s="66"/>
      <c r="B45" s="66"/>
      <c r="C45" s="131" t="s">
        <v>54</v>
      </c>
      <c r="D45" s="66"/>
      <c r="E45" s="66"/>
      <c r="F45" s="50"/>
      <c r="G45" s="50" t="s">
        <v>41</v>
      </c>
      <c r="H45" s="66"/>
      <c r="J45" s="131"/>
      <c r="K45" s="66"/>
      <c r="L45" s="66"/>
      <c r="M45" s="66"/>
      <c r="N45" s="66"/>
      <c r="O45" s="66"/>
      <c r="P45" s="66"/>
    </row>
    <row r="46" spans="1:22" x14ac:dyDescent="0.2">
      <c r="A46" s="66"/>
      <c r="B46" s="66"/>
      <c r="C46" s="131" t="s">
        <v>55</v>
      </c>
      <c r="D46" s="66"/>
      <c r="E46" s="66"/>
      <c r="F46" s="50"/>
      <c r="G46" s="50">
        <v>0.92510000000000003</v>
      </c>
      <c r="H46" s="66"/>
      <c r="J46" s="131"/>
      <c r="K46" s="66"/>
      <c r="L46" s="66"/>
      <c r="M46" s="66"/>
      <c r="N46" s="66"/>
      <c r="O46" s="66"/>
      <c r="P46" s="66"/>
    </row>
    <row r="47" spans="1:22" x14ac:dyDescent="0.2">
      <c r="A47" s="66"/>
      <c r="B47" s="66"/>
      <c r="C47" s="66"/>
      <c r="D47" s="66"/>
      <c r="E47" s="66"/>
      <c r="F47" s="66"/>
      <c r="G47" s="66"/>
      <c r="H47" s="66"/>
      <c r="J47" s="66"/>
      <c r="K47" s="66"/>
      <c r="L47" s="66"/>
      <c r="M47" s="66"/>
      <c r="N47" s="66"/>
      <c r="O47" s="66"/>
      <c r="P47" s="66"/>
    </row>
    <row r="48" spans="1:22" x14ac:dyDescent="0.2">
      <c r="A48" s="66"/>
      <c r="B48" s="66"/>
      <c r="C48" s="130" t="s">
        <v>44</v>
      </c>
      <c r="D48" s="136"/>
      <c r="E48" s="136"/>
      <c r="F48" s="136"/>
      <c r="G48" s="136"/>
      <c r="H48" s="133"/>
      <c r="J48" s="130"/>
      <c r="K48" s="66"/>
      <c r="L48" s="66"/>
      <c r="M48" s="66"/>
      <c r="N48" s="66"/>
      <c r="O48" s="66"/>
      <c r="P48" s="66"/>
    </row>
    <row r="49" spans="1:16" x14ac:dyDescent="0.2">
      <c r="A49" s="66"/>
      <c r="B49" s="66"/>
      <c r="C49" s="133"/>
      <c r="D49" s="136" t="s">
        <v>45</v>
      </c>
      <c r="E49" s="136" t="s">
        <v>46</v>
      </c>
      <c r="F49" s="136" t="s">
        <v>47</v>
      </c>
      <c r="G49" s="136" t="s">
        <v>48</v>
      </c>
      <c r="H49" s="136" t="s">
        <v>5</v>
      </c>
      <c r="J49" s="98"/>
      <c r="K49" s="66"/>
      <c r="L49" s="66"/>
      <c r="M49" s="66"/>
      <c r="N49" s="66"/>
      <c r="O49" s="66"/>
      <c r="P49" s="66"/>
    </row>
    <row r="50" spans="1:16" x14ac:dyDescent="0.2">
      <c r="A50" s="66"/>
      <c r="B50" s="66"/>
      <c r="C50" s="131" t="s">
        <v>6</v>
      </c>
      <c r="D50" s="49">
        <v>31.71</v>
      </c>
      <c r="E50" s="49" t="s">
        <v>458</v>
      </c>
      <c r="F50" s="49" t="s">
        <v>41</v>
      </c>
      <c r="G50" s="49" t="s">
        <v>10</v>
      </c>
      <c r="H50" s="49">
        <v>5.0000000000000001E-4</v>
      </c>
      <c r="J50" s="131"/>
      <c r="K50" s="66"/>
      <c r="L50" s="66"/>
      <c r="M50" s="66"/>
      <c r="N50" s="66"/>
      <c r="O50" s="66"/>
      <c r="P50" s="66"/>
    </row>
    <row r="51" spans="1:16" x14ac:dyDescent="0.2">
      <c r="A51" s="66"/>
      <c r="B51" s="66"/>
      <c r="C51" s="131" t="s">
        <v>7</v>
      </c>
      <c r="D51" s="49">
        <v>-7.0179999999999998</v>
      </c>
      <c r="E51" s="49" t="s">
        <v>459</v>
      </c>
      <c r="F51" s="49" t="s">
        <v>49</v>
      </c>
      <c r="G51" s="49" t="s">
        <v>9</v>
      </c>
      <c r="H51" s="49">
        <v>0.39489999999999997</v>
      </c>
      <c r="J51" s="131"/>
      <c r="K51" s="66"/>
      <c r="L51" s="66"/>
      <c r="M51" s="66"/>
      <c r="N51" s="66"/>
      <c r="O51" s="66"/>
      <c r="P51" s="66"/>
    </row>
    <row r="52" spans="1:16" x14ac:dyDescent="0.2">
      <c r="A52" s="66"/>
      <c r="B52" s="66"/>
      <c r="C52" s="131" t="s">
        <v>8</v>
      </c>
      <c r="D52" s="49">
        <v>29.32</v>
      </c>
      <c r="E52" s="49" t="s">
        <v>460</v>
      </c>
      <c r="F52" s="49" t="s">
        <v>41</v>
      </c>
      <c r="G52" s="49" t="s">
        <v>10</v>
      </c>
      <c r="H52" s="49">
        <v>8.9999999999999998E-4</v>
      </c>
      <c r="J52" s="131"/>
      <c r="K52" s="66"/>
      <c r="L52" s="66"/>
      <c r="M52" s="66"/>
      <c r="N52" s="66"/>
      <c r="O52" s="66"/>
      <c r="P52" s="66"/>
    </row>
    <row r="53" spans="1:16" x14ac:dyDescent="0.2">
      <c r="A53" s="66"/>
      <c r="B53" s="66"/>
      <c r="C53" s="66"/>
      <c r="D53" s="66"/>
      <c r="E53" s="66"/>
      <c r="F53" s="66"/>
      <c r="G53" s="66"/>
      <c r="H53" s="66"/>
      <c r="J53" s="66"/>
      <c r="K53" s="66"/>
      <c r="L53" s="66"/>
      <c r="M53" s="66"/>
      <c r="N53" s="66"/>
      <c r="O53" s="66"/>
      <c r="P53" s="66"/>
    </row>
    <row r="54" spans="1:16" x14ac:dyDescent="0.2">
      <c r="A54" s="66"/>
      <c r="B54" s="66"/>
      <c r="C54" s="66"/>
      <c r="D54" s="66"/>
      <c r="E54" s="66"/>
      <c r="F54" s="66"/>
      <c r="G54" s="66"/>
      <c r="H54" s="66"/>
      <c r="J54" s="66"/>
      <c r="K54" s="66"/>
      <c r="L54" s="66"/>
      <c r="M54" s="66"/>
      <c r="N54" s="66"/>
      <c r="O54" s="66"/>
      <c r="P54" s="66"/>
    </row>
    <row r="55" spans="1:16" ht="18" x14ac:dyDescent="0.2">
      <c r="A55" s="137" t="s">
        <v>453</v>
      </c>
      <c r="B55" s="66"/>
      <c r="C55" s="19" t="s">
        <v>52</v>
      </c>
      <c r="D55" s="20"/>
      <c r="E55" s="20"/>
      <c r="F55" s="20"/>
      <c r="G55" s="20"/>
      <c r="H55" s="66"/>
      <c r="J55" s="66"/>
      <c r="K55" s="66"/>
      <c r="L55" s="66"/>
      <c r="M55" s="66"/>
      <c r="N55" s="66"/>
      <c r="O55" s="66"/>
      <c r="P55" s="66"/>
    </row>
    <row r="56" spans="1:16" x14ac:dyDescent="0.2">
      <c r="A56" s="66"/>
      <c r="B56" s="66"/>
      <c r="C56" s="66"/>
      <c r="D56" s="66"/>
      <c r="E56" s="66"/>
      <c r="F56" s="66"/>
      <c r="G56" s="66"/>
      <c r="H56" s="66"/>
      <c r="J56" s="66"/>
      <c r="K56" s="66"/>
      <c r="L56" s="66"/>
      <c r="M56" s="66"/>
      <c r="N56" s="66"/>
      <c r="O56" s="66"/>
      <c r="P56" s="66"/>
    </row>
    <row r="57" spans="1:16" x14ac:dyDescent="0.2">
      <c r="A57" s="66"/>
      <c r="B57" s="66"/>
      <c r="C57" s="15" t="s">
        <v>53</v>
      </c>
      <c r="D57" s="49"/>
      <c r="E57" s="66"/>
      <c r="F57" s="49"/>
      <c r="G57" s="66"/>
      <c r="H57" s="66"/>
      <c r="J57" s="130"/>
      <c r="K57" s="66"/>
      <c r="L57" s="66"/>
      <c r="M57" s="66"/>
      <c r="N57" s="66"/>
      <c r="O57" s="66"/>
      <c r="P57" s="66"/>
    </row>
    <row r="58" spans="1:16" x14ac:dyDescent="0.2">
      <c r="A58" s="66"/>
      <c r="B58" s="66"/>
      <c r="C58" s="131" t="s">
        <v>0</v>
      </c>
      <c r="D58" s="66"/>
      <c r="E58" s="66"/>
      <c r="F58" s="49"/>
      <c r="G58" s="50">
        <v>5.9189999999999996</v>
      </c>
      <c r="H58" s="66"/>
      <c r="J58" s="131"/>
      <c r="K58" s="66"/>
      <c r="L58" s="66"/>
      <c r="M58" s="66"/>
      <c r="N58" s="66"/>
      <c r="O58" s="66"/>
      <c r="P58" s="66"/>
    </row>
    <row r="59" spans="1:16" x14ac:dyDescent="0.2">
      <c r="A59" s="66"/>
      <c r="B59" s="66"/>
      <c r="C59" s="131" t="s">
        <v>36</v>
      </c>
      <c r="D59" s="66"/>
      <c r="E59" s="66"/>
      <c r="F59" s="49"/>
      <c r="G59" s="50">
        <v>1.9800000000000002E-2</v>
      </c>
      <c r="H59" s="66"/>
      <c r="J59" s="131"/>
      <c r="K59" s="66"/>
      <c r="L59" s="66"/>
      <c r="M59" s="66"/>
      <c r="N59" s="66"/>
      <c r="O59" s="66"/>
      <c r="P59" s="66"/>
    </row>
    <row r="60" spans="1:16" x14ac:dyDescent="0.2">
      <c r="A60" s="66"/>
      <c r="B60" s="66"/>
      <c r="C60" s="131" t="s">
        <v>37</v>
      </c>
      <c r="D60" s="66"/>
      <c r="E60" s="66"/>
      <c r="F60" s="50"/>
      <c r="G60" s="50" t="s">
        <v>12</v>
      </c>
      <c r="H60" s="66"/>
      <c r="J60" s="131"/>
      <c r="K60" s="66"/>
      <c r="L60" s="66"/>
      <c r="M60" s="66"/>
      <c r="N60" s="66"/>
      <c r="O60" s="66"/>
      <c r="P60" s="66"/>
    </row>
    <row r="61" spans="1:16" x14ac:dyDescent="0.2">
      <c r="A61" s="66"/>
      <c r="B61" s="66"/>
      <c r="C61" s="131" t="s">
        <v>54</v>
      </c>
      <c r="D61" s="66"/>
      <c r="E61" s="66"/>
      <c r="F61" s="50"/>
      <c r="G61" s="50" t="s">
        <v>41</v>
      </c>
      <c r="H61" s="66"/>
      <c r="J61" s="131"/>
      <c r="K61" s="66"/>
      <c r="L61" s="66"/>
      <c r="M61" s="66"/>
      <c r="N61" s="66"/>
      <c r="O61" s="66"/>
      <c r="P61" s="66"/>
    </row>
    <row r="62" spans="1:16" x14ac:dyDescent="0.2">
      <c r="A62" s="66"/>
      <c r="B62" s="66"/>
      <c r="C62" s="131" t="s">
        <v>55</v>
      </c>
      <c r="D62" s="66"/>
      <c r="E62" s="66"/>
      <c r="F62" s="49"/>
      <c r="G62" s="50">
        <v>0.68940000000000001</v>
      </c>
      <c r="H62" s="66"/>
      <c r="J62" s="131"/>
      <c r="K62" s="66"/>
      <c r="L62" s="66"/>
      <c r="M62" s="66"/>
      <c r="N62" s="66"/>
      <c r="O62" s="66"/>
      <c r="P62" s="66"/>
    </row>
    <row r="63" spans="1:16" x14ac:dyDescent="0.2">
      <c r="A63" s="66"/>
      <c r="B63" s="66"/>
      <c r="C63" s="66"/>
      <c r="D63" s="66"/>
      <c r="E63" s="66"/>
      <c r="F63" s="66"/>
      <c r="G63" s="66"/>
      <c r="H63" s="66"/>
      <c r="J63" s="66"/>
      <c r="K63" s="66"/>
      <c r="L63" s="66"/>
      <c r="M63" s="66"/>
      <c r="N63" s="66"/>
      <c r="O63" s="66"/>
      <c r="P63" s="66"/>
    </row>
    <row r="64" spans="1:16" x14ac:dyDescent="0.2">
      <c r="A64" s="66"/>
      <c r="B64" s="66"/>
      <c r="C64" s="130" t="s">
        <v>44</v>
      </c>
      <c r="D64" s="133"/>
      <c r="E64" s="133"/>
      <c r="F64" s="133"/>
      <c r="G64" s="133"/>
      <c r="H64" s="133"/>
      <c r="J64" s="132"/>
      <c r="K64" s="66"/>
      <c r="L64" s="66"/>
      <c r="M64" s="66"/>
      <c r="N64" s="66"/>
      <c r="O64" s="66"/>
      <c r="P64" s="66"/>
    </row>
    <row r="65" spans="1:16" x14ac:dyDescent="0.2">
      <c r="A65" s="66"/>
      <c r="B65" s="66"/>
      <c r="C65" s="133"/>
      <c r="D65" s="136" t="s">
        <v>45</v>
      </c>
      <c r="E65" s="136" t="s">
        <v>46</v>
      </c>
      <c r="F65" s="136" t="s">
        <v>47</v>
      </c>
      <c r="G65" s="136" t="s">
        <v>48</v>
      </c>
      <c r="H65" s="136" t="s">
        <v>5</v>
      </c>
      <c r="J65" s="133"/>
      <c r="K65" s="66"/>
      <c r="L65" s="66"/>
      <c r="M65" s="66"/>
      <c r="N65" s="66"/>
      <c r="O65" s="66"/>
      <c r="P65" s="66"/>
    </row>
    <row r="66" spans="1:16" x14ac:dyDescent="0.2">
      <c r="A66" s="66"/>
      <c r="B66" s="66"/>
      <c r="C66" s="131" t="s">
        <v>6</v>
      </c>
      <c r="D66" s="49">
        <v>3.4180000000000001</v>
      </c>
      <c r="E66" s="49" t="s">
        <v>461</v>
      </c>
      <c r="F66" s="49" t="s">
        <v>49</v>
      </c>
      <c r="G66" s="49" t="s">
        <v>9</v>
      </c>
      <c r="H66" s="49">
        <v>0.60699999999999998</v>
      </c>
      <c r="J66" s="134"/>
      <c r="K66" s="66"/>
      <c r="L66" s="66"/>
      <c r="M66" s="66"/>
      <c r="N66" s="66"/>
      <c r="O66" s="66"/>
      <c r="P66" s="66"/>
    </row>
    <row r="67" spans="1:16" x14ac:dyDescent="0.2">
      <c r="A67" s="66"/>
      <c r="B67" s="66"/>
      <c r="C67" s="131" t="s">
        <v>7</v>
      </c>
      <c r="D67" s="49">
        <v>-9.6470000000000002</v>
      </c>
      <c r="E67" s="49" t="s">
        <v>462</v>
      </c>
      <c r="F67" s="49" t="s">
        <v>41</v>
      </c>
      <c r="G67" s="49" t="s">
        <v>12</v>
      </c>
      <c r="H67" s="49">
        <v>4.2599999999999999E-2</v>
      </c>
      <c r="J67" s="134"/>
      <c r="K67" s="66"/>
      <c r="L67" s="66"/>
      <c r="M67" s="66"/>
      <c r="N67" s="66"/>
      <c r="O67" s="66"/>
      <c r="P67" s="66"/>
    </row>
    <row r="68" spans="1:16" x14ac:dyDescent="0.2">
      <c r="A68" s="66"/>
      <c r="B68" s="66"/>
      <c r="C68" s="131" t="s">
        <v>8</v>
      </c>
      <c r="D68" s="49">
        <v>-1.0780000000000001</v>
      </c>
      <c r="E68" s="49" t="s">
        <v>463</v>
      </c>
      <c r="F68" s="49" t="s">
        <v>49</v>
      </c>
      <c r="G68" s="49" t="s">
        <v>9</v>
      </c>
      <c r="H68" s="49">
        <v>0.97389999999999999</v>
      </c>
      <c r="J68" s="134"/>
      <c r="K68" s="66"/>
      <c r="L68" s="66"/>
      <c r="M68" s="66"/>
      <c r="N68" s="66"/>
      <c r="O68" s="66"/>
      <c r="P68" s="66"/>
    </row>
    <row r="69" spans="1:16" x14ac:dyDescent="0.2">
      <c r="A69" s="66"/>
      <c r="B69" s="66"/>
      <c r="C69" s="66"/>
      <c r="D69" s="66"/>
      <c r="E69" s="66"/>
      <c r="F69" s="66"/>
      <c r="G69" s="66"/>
      <c r="H69" s="66"/>
      <c r="J69" s="66"/>
      <c r="K69" s="66"/>
      <c r="L69" s="66"/>
      <c r="M69" s="66"/>
      <c r="N69" s="66"/>
      <c r="O69" s="66"/>
      <c r="P69" s="66"/>
    </row>
    <row r="70" spans="1:16" x14ac:dyDescent="0.2">
      <c r="A70" s="66"/>
      <c r="B70" s="66"/>
      <c r="C70" s="66"/>
      <c r="D70" s="66"/>
      <c r="E70" s="66"/>
      <c r="F70" s="66"/>
      <c r="G70" s="66"/>
      <c r="H70" s="66"/>
      <c r="J70" s="66"/>
      <c r="K70" s="66"/>
      <c r="L70" s="66"/>
      <c r="M70" s="66"/>
      <c r="N70" s="66"/>
      <c r="O70" s="66"/>
      <c r="P70" s="66"/>
    </row>
    <row r="71" spans="1:16" ht="18" x14ac:dyDescent="0.2">
      <c r="A71" s="137" t="s">
        <v>454</v>
      </c>
      <c r="B71" s="66"/>
      <c r="C71" s="19" t="s">
        <v>52</v>
      </c>
      <c r="D71" s="20"/>
      <c r="E71" s="20"/>
      <c r="F71" s="20"/>
      <c r="G71" s="20"/>
      <c r="H71" s="66"/>
      <c r="J71" s="66"/>
      <c r="K71" s="66"/>
      <c r="L71" s="66"/>
      <c r="M71" s="66"/>
      <c r="N71" s="66"/>
      <c r="O71" s="66"/>
      <c r="P71" s="66"/>
    </row>
    <row r="72" spans="1:16" x14ac:dyDescent="0.2">
      <c r="A72" s="66"/>
      <c r="B72" s="66"/>
      <c r="C72" s="66"/>
      <c r="D72" s="66"/>
      <c r="E72" s="66"/>
      <c r="F72" s="66"/>
      <c r="G72" s="66"/>
      <c r="H72" s="66"/>
      <c r="J72" s="66"/>
      <c r="K72" s="66"/>
      <c r="L72" s="66"/>
      <c r="M72" s="66"/>
      <c r="N72" s="66"/>
      <c r="O72" s="66"/>
      <c r="P72" s="66"/>
    </row>
    <row r="73" spans="1:16" x14ac:dyDescent="0.2">
      <c r="A73" s="66"/>
      <c r="B73" s="66"/>
      <c r="C73" s="15" t="s">
        <v>53</v>
      </c>
      <c r="D73" s="49"/>
      <c r="E73" s="66"/>
      <c r="F73" s="66"/>
      <c r="G73" s="66"/>
      <c r="H73" s="66"/>
      <c r="J73" s="130"/>
      <c r="K73" s="66"/>
      <c r="L73" s="66"/>
      <c r="M73" s="66"/>
      <c r="N73" s="66"/>
      <c r="O73" s="66"/>
      <c r="P73" s="66"/>
    </row>
    <row r="74" spans="1:16" x14ac:dyDescent="0.2">
      <c r="A74" s="66"/>
      <c r="B74" s="66"/>
      <c r="C74" s="131" t="s">
        <v>0</v>
      </c>
      <c r="D74" s="66"/>
      <c r="E74" s="66"/>
      <c r="F74" s="49"/>
      <c r="G74" s="50">
        <v>4.5469999999999997</v>
      </c>
      <c r="H74" s="66"/>
      <c r="J74" s="131"/>
      <c r="K74" s="66"/>
      <c r="L74" s="66"/>
      <c r="M74" s="66"/>
      <c r="N74" s="66"/>
      <c r="O74" s="66"/>
      <c r="P74" s="66"/>
    </row>
    <row r="75" spans="1:16" x14ac:dyDescent="0.2">
      <c r="A75" s="66"/>
      <c r="B75" s="66"/>
      <c r="C75" s="131" t="s">
        <v>36</v>
      </c>
      <c r="D75" s="66"/>
      <c r="E75" s="66"/>
      <c r="F75" s="49"/>
      <c r="G75" s="50">
        <v>3.85E-2</v>
      </c>
      <c r="H75" s="66"/>
      <c r="J75" s="131"/>
      <c r="K75" s="66"/>
      <c r="L75" s="66"/>
      <c r="M75" s="66"/>
      <c r="N75" s="66"/>
      <c r="O75" s="66"/>
      <c r="P75" s="66"/>
    </row>
    <row r="76" spans="1:16" x14ac:dyDescent="0.2">
      <c r="A76" s="66"/>
      <c r="B76" s="66"/>
      <c r="C76" s="131" t="s">
        <v>37</v>
      </c>
      <c r="D76" s="66"/>
      <c r="E76" s="66"/>
      <c r="F76" s="50"/>
      <c r="G76" s="50" t="s">
        <v>12</v>
      </c>
      <c r="H76" s="66"/>
      <c r="J76" s="131"/>
      <c r="K76" s="66"/>
      <c r="L76" s="66"/>
      <c r="M76" s="66"/>
      <c r="N76" s="66"/>
      <c r="O76" s="66"/>
      <c r="P76" s="66"/>
    </row>
    <row r="77" spans="1:16" x14ac:dyDescent="0.2">
      <c r="A77" s="66"/>
      <c r="B77" s="66"/>
      <c r="C77" s="131" t="s">
        <v>54</v>
      </c>
      <c r="D77" s="66"/>
      <c r="E77" s="66"/>
      <c r="F77" s="50"/>
      <c r="G77" s="50" t="s">
        <v>41</v>
      </c>
      <c r="H77" s="66"/>
      <c r="J77" s="131"/>
      <c r="K77" s="66"/>
      <c r="L77" s="66"/>
      <c r="M77" s="66"/>
      <c r="N77" s="66"/>
      <c r="O77" s="66"/>
      <c r="P77" s="66"/>
    </row>
    <row r="78" spans="1:16" x14ac:dyDescent="0.2">
      <c r="A78" s="66"/>
      <c r="B78" s="66"/>
      <c r="C78" s="131" t="s">
        <v>55</v>
      </c>
      <c r="D78" s="66"/>
      <c r="E78" s="66"/>
      <c r="F78" s="49"/>
      <c r="G78" s="50">
        <v>0.63029999999999997</v>
      </c>
      <c r="H78" s="66"/>
      <c r="J78" s="131"/>
      <c r="K78" s="66"/>
      <c r="L78" s="66"/>
      <c r="M78" s="66"/>
      <c r="N78" s="66"/>
      <c r="O78" s="66"/>
      <c r="P78" s="66"/>
    </row>
    <row r="79" spans="1:16" x14ac:dyDescent="0.2">
      <c r="A79" s="66"/>
      <c r="B79" s="66"/>
      <c r="C79" s="66"/>
      <c r="D79" s="66"/>
      <c r="E79" s="66"/>
      <c r="F79" s="66"/>
      <c r="G79" s="66"/>
      <c r="H79" s="66"/>
      <c r="J79" s="66"/>
      <c r="K79" s="66"/>
      <c r="L79" s="66"/>
      <c r="M79" s="66"/>
      <c r="N79" s="66"/>
      <c r="O79" s="66"/>
      <c r="P79" s="66"/>
    </row>
    <row r="80" spans="1:16" x14ac:dyDescent="0.2">
      <c r="A80" s="66"/>
      <c r="B80" s="66"/>
      <c r="C80" s="130" t="s">
        <v>44</v>
      </c>
      <c r="D80" s="98"/>
      <c r="E80" s="98"/>
      <c r="F80" s="98"/>
      <c r="G80" s="98"/>
      <c r="H80" s="133"/>
      <c r="J80" s="130"/>
      <c r="K80" s="66"/>
      <c r="L80" s="66"/>
      <c r="M80" s="66"/>
      <c r="N80" s="66"/>
      <c r="O80" s="66"/>
      <c r="P80" s="66"/>
    </row>
    <row r="81" spans="1:16" x14ac:dyDescent="0.2">
      <c r="A81" s="66"/>
      <c r="B81" s="66"/>
      <c r="C81" s="133"/>
      <c r="D81" s="136" t="s">
        <v>45</v>
      </c>
      <c r="E81" s="136" t="s">
        <v>46</v>
      </c>
      <c r="F81" s="136" t="s">
        <v>47</v>
      </c>
      <c r="G81" s="136" t="s">
        <v>48</v>
      </c>
      <c r="H81" s="136" t="s">
        <v>5</v>
      </c>
      <c r="J81" s="98"/>
      <c r="K81" s="66"/>
      <c r="L81" s="66"/>
      <c r="M81" s="66"/>
      <c r="N81" s="66"/>
      <c r="O81" s="66"/>
      <c r="P81" s="66"/>
    </row>
    <row r="82" spans="1:16" x14ac:dyDescent="0.2">
      <c r="A82" s="66"/>
      <c r="B82" s="66"/>
      <c r="C82" s="131" t="s">
        <v>6</v>
      </c>
      <c r="D82" s="49">
        <v>9.8390000000000004</v>
      </c>
      <c r="E82" s="49" t="s">
        <v>464</v>
      </c>
      <c r="F82" s="49" t="s">
        <v>41</v>
      </c>
      <c r="G82" s="49" t="s">
        <v>12</v>
      </c>
      <c r="H82" s="49">
        <v>3.5999999999999997E-2</v>
      </c>
      <c r="J82" s="131"/>
    </row>
    <row r="83" spans="1:16" x14ac:dyDescent="0.2">
      <c r="A83" s="66"/>
      <c r="B83" s="66"/>
      <c r="C83" s="131" t="s">
        <v>7</v>
      </c>
      <c r="D83" s="49">
        <v>3.403</v>
      </c>
      <c r="E83" s="49" t="s">
        <v>465</v>
      </c>
      <c r="F83" s="49" t="s">
        <v>49</v>
      </c>
      <c r="G83" s="49" t="s">
        <v>9</v>
      </c>
      <c r="H83" s="49">
        <v>0.59809999999999997</v>
      </c>
      <c r="J83" s="131"/>
    </row>
    <row r="84" spans="1:16" x14ac:dyDescent="0.2">
      <c r="A84" s="66"/>
      <c r="B84" s="66"/>
      <c r="C84" s="131" t="s">
        <v>8</v>
      </c>
      <c r="D84" s="49">
        <v>9.3960000000000008</v>
      </c>
      <c r="E84" s="49" t="s">
        <v>466</v>
      </c>
      <c r="F84" s="49" t="s">
        <v>41</v>
      </c>
      <c r="G84" s="49" t="s">
        <v>12</v>
      </c>
      <c r="H84" s="49">
        <v>4.4200000000000003E-2</v>
      </c>
      <c r="J84" s="131"/>
    </row>
    <row r="85" spans="1:16" x14ac:dyDescent="0.2">
      <c r="A85" s="66"/>
      <c r="B85" s="66"/>
      <c r="C85" s="66"/>
      <c r="D85" s="66"/>
      <c r="E85" s="66"/>
      <c r="F85" s="66"/>
      <c r="G85" s="66"/>
      <c r="H85" s="66"/>
      <c r="J85" s="66"/>
      <c r="K85" s="66"/>
      <c r="L85" s="66"/>
      <c r="M85" s="66"/>
      <c r="N85" s="66"/>
      <c r="O85" s="66"/>
      <c r="P85" s="66"/>
    </row>
    <row r="86" spans="1:16" x14ac:dyDescent="0.2">
      <c r="A86" s="66"/>
      <c r="B86" s="66"/>
      <c r="C86" s="66"/>
      <c r="D86" s="66"/>
      <c r="E86" s="66"/>
      <c r="F86" s="66"/>
      <c r="G86" s="66"/>
      <c r="H86" s="66"/>
      <c r="J86" s="66"/>
      <c r="K86" s="66"/>
      <c r="L86" s="66"/>
      <c r="M86" s="66"/>
      <c r="N86" s="66"/>
      <c r="O86" s="66"/>
      <c r="P86" s="66"/>
    </row>
    <row r="87" spans="1:16" x14ac:dyDescent="0.2">
      <c r="A87" s="66"/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</row>
    <row r="88" spans="1:16" x14ac:dyDescent="0.2">
      <c r="A88" s="66"/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</row>
    <row r="89" spans="1:16" x14ac:dyDescent="0.2">
      <c r="A89" s="66"/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</row>
    <row r="90" spans="1:16" x14ac:dyDescent="0.2">
      <c r="A90" s="66"/>
      <c r="B90" s="66"/>
      <c r="C90" s="66"/>
      <c r="D90" s="66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</row>
    <row r="91" spans="1:16" x14ac:dyDescent="0.2">
      <c r="A91" s="66"/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</row>
    <row r="92" spans="1:16" x14ac:dyDescent="0.2">
      <c r="A92" s="66"/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</row>
    <row r="93" spans="1:16" x14ac:dyDescent="0.2">
      <c r="A93" s="66"/>
      <c r="B93" s="66"/>
      <c r="C93" s="66"/>
      <c r="D93" s="66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</row>
    <row r="94" spans="1:16" x14ac:dyDescent="0.2">
      <c r="A94" s="66"/>
      <c r="B94" s="66"/>
      <c r="C94" s="66"/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</row>
    <row r="95" spans="1:16" x14ac:dyDescent="0.2">
      <c r="A95" s="66"/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</row>
    <row r="96" spans="1:16" x14ac:dyDescent="0.2">
      <c r="A96" s="66"/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</row>
    <row r="97" spans="3:16" x14ac:dyDescent="0.2"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</row>
    <row r="98" spans="3:16" x14ac:dyDescent="0.2"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</row>
    <row r="99" spans="3:16" x14ac:dyDescent="0.2"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</row>
    <row r="100" spans="3:16" x14ac:dyDescent="0.2"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</row>
    <row r="101" spans="3:16" x14ac:dyDescent="0.2"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</row>
    <row r="102" spans="3:16" x14ac:dyDescent="0.2"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</row>
    <row r="103" spans="3:16" x14ac:dyDescent="0.2"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</row>
    <row r="104" spans="3:16" x14ac:dyDescent="0.2"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</row>
    <row r="105" spans="3:16" x14ac:dyDescent="0.2"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</row>
    <row r="106" spans="3:16" x14ac:dyDescent="0.2"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</row>
  </sheetData>
  <mergeCells count="9">
    <mergeCell ref="T6:W6"/>
    <mergeCell ref="D12:G12"/>
    <mergeCell ref="H12:K12"/>
    <mergeCell ref="L12:O12"/>
    <mergeCell ref="P12:S12"/>
    <mergeCell ref="D6:G6"/>
    <mergeCell ref="H6:K6"/>
    <mergeCell ref="L6:O6"/>
    <mergeCell ref="P6:S6"/>
  </mergeCells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2:L261"/>
  <sheetViews>
    <sheetView workbookViewId="0">
      <selection activeCell="J22" sqref="J22"/>
    </sheetView>
  </sheetViews>
  <sheetFormatPr baseColWidth="10" defaultColWidth="10.83203125" defaultRowHeight="14" x14ac:dyDescent="0.15"/>
  <cols>
    <col min="1" max="1" width="10.83203125" style="68"/>
    <col min="2" max="2" width="29.6640625" style="68" customWidth="1"/>
    <col min="3" max="5" width="10.83203125" style="68"/>
    <col min="6" max="6" width="12.83203125" style="68" customWidth="1"/>
    <col min="7" max="16384" width="10.83203125" style="68"/>
  </cols>
  <sheetData>
    <row r="2" spans="1:8" ht="18" x14ac:dyDescent="0.2">
      <c r="A2" s="53" t="s">
        <v>1179</v>
      </c>
      <c r="B2" s="8"/>
      <c r="C2" s="42"/>
    </row>
    <row r="3" spans="1:8" s="64" customFormat="1" ht="18" x14ac:dyDescent="0.2">
      <c r="A3" s="80"/>
      <c r="B3" s="42"/>
      <c r="C3" s="42"/>
    </row>
    <row r="4" spans="1:8" s="64" customFormat="1" ht="18" x14ac:dyDescent="0.2">
      <c r="A4" s="14" t="s">
        <v>242</v>
      </c>
      <c r="B4" s="14"/>
      <c r="C4" s="14"/>
      <c r="D4" s="14"/>
      <c r="E4" s="93"/>
      <c r="F4" s="93"/>
    </row>
    <row r="5" spans="1:8" x14ac:dyDescent="0.15">
      <c r="B5" s="36"/>
    </row>
    <row r="7" spans="1:8" x14ac:dyDescent="0.15">
      <c r="B7" s="62" t="s">
        <v>162</v>
      </c>
      <c r="C7" s="81" t="s">
        <v>203</v>
      </c>
      <c r="D7" s="81" t="s">
        <v>2</v>
      </c>
      <c r="E7" s="81" t="s">
        <v>3</v>
      </c>
      <c r="F7" s="81" t="s">
        <v>4</v>
      </c>
    </row>
    <row r="8" spans="1:8" x14ac:dyDescent="0.15">
      <c r="B8" s="17">
        <v>1</v>
      </c>
      <c r="C8" s="82">
        <v>1.9047619047619047</v>
      </c>
      <c r="D8" s="82">
        <v>1.6</v>
      </c>
      <c r="E8" s="82">
        <v>1.6666666666666667</v>
      </c>
      <c r="F8" s="82">
        <v>1.9047619047619047</v>
      </c>
      <c r="H8" s="84"/>
    </row>
    <row r="9" spans="1:8" x14ac:dyDescent="0.15">
      <c r="B9" s="17">
        <v>2</v>
      </c>
      <c r="C9" s="82">
        <v>2</v>
      </c>
      <c r="D9" s="82">
        <v>1.7391304347826086</v>
      </c>
      <c r="E9" s="82">
        <v>1.6666666666666667</v>
      </c>
      <c r="F9" s="82">
        <v>1.8181818181818181</v>
      </c>
      <c r="H9" s="84"/>
    </row>
    <row r="10" spans="1:8" x14ac:dyDescent="0.15">
      <c r="B10" s="17">
        <v>3</v>
      </c>
      <c r="C10" s="82">
        <v>1.9047619047619047</v>
      </c>
      <c r="D10" s="82">
        <v>1.6666666666666667</v>
      </c>
      <c r="E10" s="82">
        <v>2</v>
      </c>
      <c r="F10" s="82">
        <v>1.9047619047619047</v>
      </c>
      <c r="H10" s="84"/>
    </row>
    <row r="11" spans="1:8" x14ac:dyDescent="0.15">
      <c r="B11" s="17">
        <v>4</v>
      </c>
      <c r="C11" s="82">
        <v>2</v>
      </c>
      <c r="D11" s="82">
        <v>1.6</v>
      </c>
      <c r="E11" s="82">
        <v>1.8181818181818181</v>
      </c>
      <c r="F11" s="82">
        <v>1.8181818181818181</v>
      </c>
      <c r="H11" s="84"/>
    </row>
    <row r="12" spans="1:8" x14ac:dyDescent="0.15">
      <c r="B12" s="17">
        <v>5</v>
      </c>
      <c r="C12" s="82">
        <v>1.9047619047619047</v>
      </c>
      <c r="D12" s="82">
        <v>1.4814814814814814</v>
      </c>
      <c r="E12" s="82">
        <v>1.6666666666666667</v>
      </c>
      <c r="F12" s="82">
        <v>1.9047619047619047</v>
      </c>
      <c r="H12" s="84"/>
    </row>
    <row r="13" spans="1:8" x14ac:dyDescent="0.15">
      <c r="B13" s="17">
        <v>6</v>
      </c>
      <c r="C13" s="82">
        <v>1.7391304347826086</v>
      </c>
      <c r="D13" s="82">
        <v>1.8181818181818181</v>
      </c>
      <c r="E13" s="82">
        <v>1.6666666666666667</v>
      </c>
      <c r="F13" s="82">
        <v>1.7391304347826086</v>
      </c>
      <c r="H13" s="84"/>
    </row>
    <row r="14" spans="1:8" x14ac:dyDescent="0.15">
      <c r="B14" s="17">
        <v>7</v>
      </c>
      <c r="C14" s="82">
        <v>2</v>
      </c>
      <c r="D14" s="82">
        <v>1.7391304347826086</v>
      </c>
      <c r="E14" s="82">
        <v>1.6666666666666667</v>
      </c>
      <c r="F14" s="82">
        <v>1.6666666666666667</v>
      </c>
      <c r="H14" s="84"/>
    </row>
    <row r="15" spans="1:8" x14ac:dyDescent="0.15">
      <c r="B15" s="17">
        <v>8</v>
      </c>
      <c r="C15" s="82">
        <v>1.9047619047619047</v>
      </c>
      <c r="D15" s="82">
        <v>1.9047619047619047</v>
      </c>
      <c r="E15" s="82">
        <v>1.8181818181818181</v>
      </c>
      <c r="F15" s="82">
        <v>1.6666666666666667</v>
      </c>
      <c r="H15" s="84"/>
    </row>
    <row r="16" spans="1:8" x14ac:dyDescent="0.15">
      <c r="B16" s="17">
        <v>9</v>
      </c>
      <c r="C16" s="82">
        <v>1.8181818181818181</v>
      </c>
      <c r="D16" s="82">
        <v>1.8181818181818181</v>
      </c>
      <c r="E16" s="82">
        <v>1.8181818181818181</v>
      </c>
      <c r="F16" s="82">
        <v>1.6666666666666667</v>
      </c>
      <c r="H16" s="84"/>
    </row>
    <row r="17" spans="2:8" x14ac:dyDescent="0.15">
      <c r="B17" s="17">
        <v>10</v>
      </c>
      <c r="C17" s="82">
        <v>1.8181818181818181</v>
      </c>
      <c r="D17" s="82">
        <v>1.6</v>
      </c>
      <c r="E17" s="82">
        <v>1.8181818181818181</v>
      </c>
      <c r="F17" s="82">
        <v>1.6666666666666667</v>
      </c>
      <c r="H17" s="84"/>
    </row>
    <row r="18" spans="2:8" x14ac:dyDescent="0.15">
      <c r="B18" s="17">
        <v>11</v>
      </c>
      <c r="C18" s="82">
        <v>1.8181818181818181</v>
      </c>
      <c r="D18" s="82">
        <v>1.6</v>
      </c>
      <c r="E18" s="82">
        <v>1.6666666666666667</v>
      </c>
      <c r="F18" s="82">
        <v>1.8181818181818181</v>
      </c>
      <c r="H18" s="84"/>
    </row>
    <row r="19" spans="2:8" x14ac:dyDescent="0.15">
      <c r="B19" s="17">
        <v>12</v>
      </c>
      <c r="C19" s="82">
        <v>1.9047619047619047</v>
      </c>
      <c r="D19" s="82">
        <v>1.6666666666666667</v>
      </c>
      <c r="E19" s="82">
        <v>1.6666666666666667</v>
      </c>
      <c r="F19" s="82">
        <v>1.8181818181818181</v>
      </c>
      <c r="H19" s="84"/>
    </row>
    <row r="20" spans="2:8" x14ac:dyDescent="0.15">
      <c r="B20" s="17">
        <v>13</v>
      </c>
      <c r="C20" s="82">
        <v>1.7391304347826086</v>
      </c>
      <c r="D20" s="82">
        <v>1.8181818181818181</v>
      </c>
      <c r="E20" s="82">
        <v>1.8181818181818181</v>
      </c>
      <c r="F20" s="82">
        <v>1.7391304347826086</v>
      </c>
      <c r="H20" s="84"/>
    </row>
    <row r="21" spans="2:8" x14ac:dyDescent="0.15">
      <c r="B21" s="17">
        <v>14</v>
      </c>
      <c r="C21" s="82">
        <v>1.7391304347826086</v>
      </c>
      <c r="D21" s="82">
        <v>1.6</v>
      </c>
      <c r="E21" s="82">
        <v>1.8181818181818181</v>
      </c>
      <c r="F21" s="82">
        <v>1.9047619047619047</v>
      </c>
      <c r="H21" s="84"/>
    </row>
    <row r="22" spans="2:8" x14ac:dyDescent="0.15">
      <c r="B22" s="17">
        <v>15</v>
      </c>
      <c r="C22" s="82">
        <v>2</v>
      </c>
      <c r="D22" s="82">
        <v>1.6666666666666667</v>
      </c>
      <c r="E22" s="82">
        <v>1.8181818181818181</v>
      </c>
      <c r="F22" s="82">
        <v>1.7391304347826086</v>
      </c>
      <c r="H22" s="84"/>
    </row>
    <row r="23" spans="2:8" x14ac:dyDescent="0.15">
      <c r="B23" s="17">
        <v>16</v>
      </c>
      <c r="C23" s="82">
        <v>2</v>
      </c>
      <c r="D23" s="82">
        <v>1.6</v>
      </c>
      <c r="E23" s="82">
        <v>1.8181818181818181</v>
      </c>
      <c r="F23" s="82">
        <v>2</v>
      </c>
      <c r="H23" s="84"/>
    </row>
    <row r="24" spans="2:8" x14ac:dyDescent="0.15">
      <c r="B24" s="17">
        <v>17</v>
      </c>
      <c r="C24" s="82">
        <v>1.8181818181818181</v>
      </c>
      <c r="D24" s="82">
        <v>1.8181818181818181</v>
      </c>
      <c r="E24" s="82">
        <v>1.5384615384615385</v>
      </c>
      <c r="F24" s="82">
        <v>1.9047619047619047</v>
      </c>
      <c r="H24" s="84"/>
    </row>
    <row r="25" spans="2:8" x14ac:dyDescent="0.15">
      <c r="B25" s="17">
        <v>18</v>
      </c>
      <c r="C25" s="82">
        <v>1.8181818181818181</v>
      </c>
      <c r="D25" s="82">
        <v>1.8181818181818181</v>
      </c>
      <c r="E25" s="82">
        <v>1.6666666666666667</v>
      </c>
      <c r="F25" s="82">
        <v>1.7391304347826086</v>
      </c>
      <c r="H25" s="84"/>
    </row>
    <row r="26" spans="2:8" x14ac:dyDescent="0.15">
      <c r="B26" s="17">
        <v>19</v>
      </c>
      <c r="C26" s="82">
        <v>2</v>
      </c>
      <c r="D26" s="82">
        <v>1.8181818181818181</v>
      </c>
      <c r="E26" s="82">
        <v>1.6666666666666667</v>
      </c>
      <c r="F26" s="82">
        <v>1.7391304347826086</v>
      </c>
      <c r="H26" s="84"/>
    </row>
    <row r="27" spans="2:8" x14ac:dyDescent="0.15">
      <c r="B27" s="17">
        <v>20</v>
      </c>
      <c r="C27" s="82">
        <v>2</v>
      </c>
      <c r="D27" s="82">
        <v>1.9047619047619047</v>
      </c>
      <c r="E27" s="82">
        <v>1.5384615384615385</v>
      </c>
      <c r="F27" s="82">
        <v>1.8181818181818181</v>
      </c>
      <c r="H27" s="84"/>
    </row>
    <row r="28" spans="2:8" x14ac:dyDescent="0.15">
      <c r="B28" s="17">
        <v>21</v>
      </c>
      <c r="C28" s="82">
        <v>1.8604651162790697</v>
      </c>
      <c r="D28" s="82">
        <v>1.9047619047619047</v>
      </c>
      <c r="E28" s="82">
        <v>1.5384615384615385</v>
      </c>
      <c r="F28" s="82">
        <v>1.9047619047619047</v>
      </c>
      <c r="H28" s="84"/>
    </row>
    <row r="29" spans="2:8" x14ac:dyDescent="0.15">
      <c r="B29" s="17">
        <v>22</v>
      </c>
      <c r="C29" s="82">
        <v>2</v>
      </c>
      <c r="D29" s="82">
        <v>1.7391304347826086</v>
      </c>
      <c r="E29" s="82">
        <v>1.5384615384615385</v>
      </c>
      <c r="F29" s="82">
        <v>1.7391304347826086</v>
      </c>
      <c r="H29" s="84"/>
    </row>
    <row r="30" spans="2:8" x14ac:dyDescent="0.15">
      <c r="B30" s="17">
        <v>23</v>
      </c>
      <c r="C30" s="82">
        <v>2.0512820512820511</v>
      </c>
      <c r="D30" s="82">
        <v>1.9047619047619047</v>
      </c>
      <c r="E30" s="82">
        <v>1.8181818181818181</v>
      </c>
      <c r="F30" s="82">
        <v>1.6666666666666667</v>
      </c>
      <c r="H30" s="84"/>
    </row>
    <row r="31" spans="2:8" x14ac:dyDescent="0.15">
      <c r="B31" s="17">
        <v>24</v>
      </c>
      <c r="C31" s="82">
        <v>2</v>
      </c>
      <c r="D31" s="82">
        <v>2</v>
      </c>
      <c r="E31" s="82">
        <v>1.6666666666666667</v>
      </c>
      <c r="F31" s="82">
        <v>1.6666666666666667</v>
      </c>
      <c r="H31" s="84"/>
    </row>
    <row r="32" spans="2:8" x14ac:dyDescent="0.15">
      <c r="B32" s="17">
        <v>25</v>
      </c>
      <c r="C32" s="82">
        <v>1.8181818181818181</v>
      </c>
      <c r="D32" s="82">
        <v>1.6</v>
      </c>
      <c r="E32" s="82">
        <v>1.6666666666666667</v>
      </c>
      <c r="F32" s="82">
        <v>1.6666666666666667</v>
      </c>
      <c r="H32" s="84"/>
    </row>
    <row r="33" spans="2:8" x14ac:dyDescent="0.15">
      <c r="B33" s="17">
        <v>26</v>
      </c>
      <c r="C33" s="82">
        <v>1.9047619047619047</v>
      </c>
      <c r="D33" s="82">
        <v>1.7021276595744681</v>
      </c>
      <c r="E33" s="82">
        <v>1.5384615384615385</v>
      </c>
      <c r="F33" s="82">
        <v>1.6666666666666667</v>
      </c>
      <c r="H33" s="84"/>
    </row>
    <row r="34" spans="2:8" x14ac:dyDescent="0.15">
      <c r="B34" s="17">
        <v>27</v>
      </c>
      <c r="C34" s="82">
        <v>2</v>
      </c>
      <c r="D34" s="82">
        <v>1.5384615384615385</v>
      </c>
      <c r="E34" s="82">
        <v>1.5384615384615385</v>
      </c>
      <c r="F34" s="82">
        <v>1.9047619047619047</v>
      </c>
      <c r="H34" s="84"/>
    </row>
    <row r="35" spans="2:8" x14ac:dyDescent="0.15">
      <c r="B35" s="17">
        <v>28</v>
      </c>
      <c r="C35" s="82">
        <v>1.8181818181818181</v>
      </c>
      <c r="D35" s="82">
        <v>1.5094339622641511</v>
      </c>
      <c r="E35" s="82">
        <v>1.5384615384615385</v>
      </c>
      <c r="F35" s="82">
        <v>1.7391304347826086</v>
      </c>
      <c r="H35" s="84"/>
    </row>
    <row r="36" spans="2:8" x14ac:dyDescent="0.15">
      <c r="B36" s="17">
        <v>29</v>
      </c>
      <c r="C36" s="82">
        <v>1.7391304347826086</v>
      </c>
      <c r="D36" s="82">
        <v>1.7777777777777777</v>
      </c>
      <c r="E36" s="82">
        <v>1.8181818181818181</v>
      </c>
      <c r="F36" s="82">
        <v>1.8181818181818181</v>
      </c>
      <c r="H36" s="84"/>
    </row>
    <row r="37" spans="2:8" x14ac:dyDescent="0.15">
      <c r="B37" s="17">
        <v>30</v>
      </c>
      <c r="C37" s="82">
        <v>1.9047619047619047</v>
      </c>
      <c r="D37" s="82">
        <v>1.7391304347826086</v>
      </c>
      <c r="E37" s="82">
        <v>1.8181818181818181</v>
      </c>
      <c r="F37" s="82">
        <v>1.8181818181818181</v>
      </c>
      <c r="H37" s="84"/>
    </row>
    <row r="38" spans="2:8" x14ac:dyDescent="0.15">
      <c r="B38" s="17">
        <v>31</v>
      </c>
      <c r="C38" s="82">
        <v>2.1052631578947367</v>
      </c>
      <c r="D38" s="82">
        <v>1.7777777777777777</v>
      </c>
      <c r="E38" s="82">
        <v>1.8181818181818181</v>
      </c>
      <c r="F38" s="82">
        <v>1.7391304347826086</v>
      </c>
      <c r="H38" s="84"/>
    </row>
    <row r="39" spans="2:8" x14ac:dyDescent="0.15">
      <c r="B39" s="17">
        <v>32</v>
      </c>
      <c r="C39" s="82">
        <v>1.8181818181818181</v>
      </c>
      <c r="D39" s="82">
        <v>1.9047619047619047</v>
      </c>
      <c r="E39" s="82">
        <v>1.8181818181818181</v>
      </c>
      <c r="F39" s="82">
        <v>1.6666666666666667</v>
      </c>
      <c r="H39" s="84"/>
    </row>
    <row r="40" spans="2:8" x14ac:dyDescent="0.15">
      <c r="B40" s="17">
        <v>33</v>
      </c>
      <c r="C40" s="82">
        <v>1.7777777777777777</v>
      </c>
      <c r="D40" s="82">
        <v>2.0512820512820511</v>
      </c>
      <c r="E40" s="82">
        <v>1.6666666666666667</v>
      </c>
      <c r="F40" s="82">
        <v>2.2222222222222223</v>
      </c>
      <c r="H40" s="84"/>
    </row>
    <row r="41" spans="2:8" x14ac:dyDescent="0.15">
      <c r="B41" s="17">
        <v>34</v>
      </c>
      <c r="C41" s="82">
        <v>1.9047619047619047</v>
      </c>
      <c r="D41" s="82">
        <v>1.8181818181818181</v>
      </c>
      <c r="E41" s="82">
        <v>1.6666666666666667</v>
      </c>
      <c r="F41" s="82">
        <v>2</v>
      </c>
      <c r="H41" s="84"/>
    </row>
    <row r="42" spans="2:8" x14ac:dyDescent="0.15">
      <c r="B42" s="17">
        <v>35</v>
      </c>
      <c r="C42" s="85">
        <v>1.9047619047619047</v>
      </c>
      <c r="D42" s="82">
        <v>1.5094339622641511</v>
      </c>
      <c r="E42" s="82">
        <v>1.6666666666666667</v>
      </c>
      <c r="F42" s="82">
        <v>1.8181818181818181</v>
      </c>
      <c r="H42" s="84"/>
    </row>
    <row r="43" spans="2:8" x14ac:dyDescent="0.15">
      <c r="B43" s="17">
        <v>36</v>
      </c>
      <c r="C43" s="82">
        <v>1.7391304347826086</v>
      </c>
      <c r="D43" s="82">
        <v>1.6</v>
      </c>
      <c r="E43" s="82">
        <v>1.8181818181818181</v>
      </c>
      <c r="F43" s="82">
        <v>1.6</v>
      </c>
      <c r="H43" s="84"/>
    </row>
    <row r="44" spans="2:8" x14ac:dyDescent="0.15">
      <c r="B44" s="17">
        <v>37</v>
      </c>
      <c r="C44" s="82">
        <v>1.8604651162790697</v>
      </c>
      <c r="D44" s="82">
        <v>1.6</v>
      </c>
      <c r="E44" s="82">
        <v>1.5384615384615385</v>
      </c>
      <c r="F44" s="82">
        <v>1.7391304347826086</v>
      </c>
      <c r="H44" s="84"/>
    </row>
    <row r="45" spans="2:8" x14ac:dyDescent="0.15">
      <c r="B45" s="17">
        <v>38</v>
      </c>
      <c r="C45" s="82">
        <v>1.9512195121951219</v>
      </c>
      <c r="D45" s="85">
        <v>1.5686274509803921</v>
      </c>
      <c r="E45" s="82">
        <v>1.5384615384615385</v>
      </c>
      <c r="F45" s="82">
        <v>1.6666666666666667</v>
      </c>
      <c r="H45" s="84"/>
    </row>
    <row r="46" spans="2:8" x14ac:dyDescent="0.15">
      <c r="B46" s="17">
        <v>39</v>
      </c>
      <c r="C46" s="82">
        <v>1.9512195121951219</v>
      </c>
      <c r="D46" s="82">
        <v>1.6666666666666667</v>
      </c>
      <c r="E46" s="82">
        <v>2</v>
      </c>
      <c r="F46" s="82">
        <v>1.8181818181818181</v>
      </c>
      <c r="H46" s="84"/>
    </row>
    <row r="47" spans="2:8" x14ac:dyDescent="0.15">
      <c r="B47" s="17">
        <v>40</v>
      </c>
      <c r="C47" s="82">
        <v>1.7777777777777777</v>
      </c>
      <c r="D47" s="85">
        <v>1.6</v>
      </c>
      <c r="E47" s="82">
        <v>1.8181818181818181</v>
      </c>
      <c r="F47" s="82">
        <v>1.7391304347826086</v>
      </c>
      <c r="H47" s="84"/>
    </row>
    <row r="48" spans="2:8" x14ac:dyDescent="0.15">
      <c r="B48" s="17">
        <v>41</v>
      </c>
      <c r="C48" s="82">
        <v>1.8181818181818181</v>
      </c>
      <c r="D48" s="82">
        <v>1.7021276595744681</v>
      </c>
      <c r="E48" s="82">
        <v>1.8181818181818181</v>
      </c>
      <c r="F48" s="82">
        <v>1.8181818181818181</v>
      </c>
      <c r="H48" s="84"/>
    </row>
    <row r="49" spans="2:8" x14ac:dyDescent="0.15">
      <c r="B49" s="17">
        <v>42</v>
      </c>
      <c r="C49" s="82">
        <v>2.1052631578947367</v>
      </c>
      <c r="D49" s="82">
        <v>1.5094339622641511</v>
      </c>
      <c r="E49" s="82">
        <v>1.8181818181818181</v>
      </c>
      <c r="F49" s="82">
        <v>1.6</v>
      </c>
      <c r="H49" s="84"/>
    </row>
    <row r="50" spans="2:8" x14ac:dyDescent="0.15">
      <c r="B50" s="17">
        <v>43</v>
      </c>
      <c r="C50" s="82">
        <v>2.0512820512820511</v>
      </c>
      <c r="D50" s="82">
        <v>1.8181818181818181</v>
      </c>
      <c r="E50" s="82">
        <v>1.6666666666666667</v>
      </c>
      <c r="F50" s="82">
        <v>1.7391304347826086</v>
      </c>
      <c r="H50" s="84"/>
    </row>
    <row r="51" spans="2:8" x14ac:dyDescent="0.15">
      <c r="B51" s="17">
        <v>44</v>
      </c>
      <c r="C51" s="82">
        <v>1.9047619047619047</v>
      </c>
      <c r="D51" s="82">
        <v>1.7777777777777777</v>
      </c>
      <c r="E51" s="82">
        <v>1.8181818181818181</v>
      </c>
      <c r="F51" s="82">
        <v>1.6666666666666667</v>
      </c>
      <c r="H51" s="84"/>
    </row>
    <row r="52" spans="2:8" x14ac:dyDescent="0.15">
      <c r="B52" s="17">
        <v>45</v>
      </c>
      <c r="C52" s="82">
        <v>2</v>
      </c>
      <c r="D52" s="82">
        <v>1.7777777777777777</v>
      </c>
      <c r="E52" s="82">
        <v>1.6666666666666667</v>
      </c>
      <c r="F52" s="82">
        <v>1.6666666666666667</v>
      </c>
      <c r="H52" s="84"/>
    </row>
    <row r="53" spans="2:8" x14ac:dyDescent="0.15">
      <c r="B53" s="17">
        <v>46</v>
      </c>
      <c r="C53" s="82">
        <v>2</v>
      </c>
      <c r="D53" s="82">
        <v>1.7391304347826086</v>
      </c>
      <c r="E53" s="82">
        <v>1.5384615384615385</v>
      </c>
      <c r="F53" s="82">
        <v>1.6666666666666667</v>
      </c>
      <c r="H53" s="84"/>
    </row>
    <row r="54" spans="2:8" x14ac:dyDescent="0.15">
      <c r="B54" s="17">
        <v>47</v>
      </c>
      <c r="C54" s="82">
        <v>1.9047619047619047</v>
      </c>
      <c r="D54" s="82">
        <v>1.8604651162790697</v>
      </c>
      <c r="E54" s="82">
        <v>1.6666666666666667</v>
      </c>
      <c r="F54" s="82">
        <v>1.6666666666666667</v>
      </c>
      <c r="H54" s="84"/>
    </row>
    <row r="55" spans="2:8" x14ac:dyDescent="0.15">
      <c r="B55" s="17">
        <v>48</v>
      </c>
      <c r="C55" s="82">
        <v>1.9047619047619047</v>
      </c>
      <c r="D55" s="82">
        <v>1.7391304347826086</v>
      </c>
      <c r="E55" s="82">
        <v>1.9047619047619047</v>
      </c>
      <c r="F55" s="82">
        <v>1.6666666666666667</v>
      </c>
      <c r="H55" s="84"/>
    </row>
    <row r="56" spans="2:8" x14ac:dyDescent="0.15">
      <c r="B56" s="17">
        <v>49</v>
      </c>
      <c r="C56" s="82">
        <v>2</v>
      </c>
      <c r="D56" s="82">
        <v>1.8181818181818181</v>
      </c>
      <c r="E56" s="82">
        <v>1.6666666666666667</v>
      </c>
      <c r="F56" s="82">
        <v>1.6666666666666667</v>
      </c>
      <c r="H56" s="84"/>
    </row>
    <row r="57" spans="2:8" x14ac:dyDescent="0.15">
      <c r="B57" s="17">
        <v>50</v>
      </c>
      <c r="C57" s="82">
        <v>1.9047619047619047</v>
      </c>
      <c r="D57" s="82">
        <v>2</v>
      </c>
      <c r="E57" s="82">
        <v>1.7391304347826086</v>
      </c>
      <c r="F57" s="82">
        <v>1.6666666666666667</v>
      </c>
      <c r="H57" s="84"/>
    </row>
    <row r="58" spans="2:8" x14ac:dyDescent="0.15">
      <c r="B58" s="17">
        <v>51</v>
      </c>
      <c r="C58" s="82">
        <v>1.9047619047619047</v>
      </c>
      <c r="D58" s="82">
        <v>1.8181818181818181</v>
      </c>
      <c r="E58" s="82">
        <v>2</v>
      </c>
      <c r="F58" s="82">
        <v>1.6666666666666667</v>
      </c>
      <c r="H58" s="84"/>
    </row>
    <row r="59" spans="2:8" x14ac:dyDescent="0.15">
      <c r="B59" s="17">
        <v>52</v>
      </c>
      <c r="C59" s="82">
        <v>1.7391304347826086</v>
      </c>
      <c r="D59" s="82">
        <v>1.6</v>
      </c>
      <c r="E59" s="82">
        <v>1.6666666666666667</v>
      </c>
      <c r="F59" s="82">
        <v>1.6</v>
      </c>
      <c r="H59" s="84"/>
    </row>
    <row r="60" spans="2:8" x14ac:dyDescent="0.15">
      <c r="B60" s="17">
        <v>53</v>
      </c>
      <c r="C60" s="82">
        <v>1.8181818181818181</v>
      </c>
      <c r="D60" s="82">
        <v>1.8181818181818181</v>
      </c>
      <c r="E60" s="82">
        <v>1.6666666666666667</v>
      </c>
      <c r="F60" s="82">
        <v>1.7391304347826086</v>
      </c>
      <c r="H60" s="84"/>
    </row>
    <row r="61" spans="2:8" x14ac:dyDescent="0.15">
      <c r="B61" s="17">
        <v>54</v>
      </c>
      <c r="C61" s="82">
        <v>1.9047619047619047</v>
      </c>
      <c r="D61" s="82">
        <v>1.6666666666666667</v>
      </c>
      <c r="E61" s="82">
        <v>1.5384615384615385</v>
      </c>
      <c r="F61" s="82">
        <v>1.8181818181818181</v>
      </c>
      <c r="H61" s="84"/>
    </row>
    <row r="62" spans="2:8" x14ac:dyDescent="0.15">
      <c r="B62" s="17">
        <v>55</v>
      </c>
      <c r="C62" s="82">
        <v>1.8181818181818181</v>
      </c>
      <c r="D62" s="82">
        <v>1.6</v>
      </c>
      <c r="E62" s="82">
        <v>1.8181818181818181</v>
      </c>
      <c r="F62" s="82">
        <v>1.8181818181818181</v>
      </c>
      <c r="H62" s="84"/>
    </row>
    <row r="63" spans="2:8" x14ac:dyDescent="0.15">
      <c r="B63" s="17">
        <v>56</v>
      </c>
      <c r="C63" s="82">
        <v>1.7391304347826086</v>
      </c>
      <c r="D63" s="82">
        <v>1.7391304347826086</v>
      </c>
      <c r="E63" s="82">
        <v>1.7391304347826086</v>
      </c>
      <c r="F63" s="82">
        <v>1.9047619047619047</v>
      </c>
      <c r="H63" s="84"/>
    </row>
    <row r="64" spans="2:8" x14ac:dyDescent="0.15">
      <c r="B64" s="17">
        <v>57</v>
      </c>
      <c r="C64" s="82">
        <v>2</v>
      </c>
      <c r="D64" s="82">
        <v>2</v>
      </c>
      <c r="E64" s="82">
        <v>1.6</v>
      </c>
      <c r="F64" s="82">
        <v>1.7391304347826086</v>
      </c>
      <c r="H64" s="84"/>
    </row>
    <row r="65" spans="2:8" x14ac:dyDescent="0.15">
      <c r="B65" s="17">
        <v>58</v>
      </c>
      <c r="C65" s="82">
        <v>2</v>
      </c>
      <c r="D65" s="82">
        <v>1.8181818181818181</v>
      </c>
      <c r="E65" s="82">
        <v>1.8181818181818181</v>
      </c>
      <c r="F65" s="82">
        <v>1.7391304347826086</v>
      </c>
      <c r="H65" s="84"/>
    </row>
    <row r="66" spans="2:8" x14ac:dyDescent="0.15">
      <c r="B66" s="17">
        <v>59</v>
      </c>
      <c r="C66" s="82">
        <v>1.8181818181818181</v>
      </c>
      <c r="D66" s="82">
        <v>1.9047619047619047</v>
      </c>
      <c r="E66" s="82">
        <v>1.6666666666666667</v>
      </c>
      <c r="F66" s="82">
        <v>1.6666666666666667</v>
      </c>
      <c r="H66" s="84"/>
    </row>
    <row r="67" spans="2:8" x14ac:dyDescent="0.15">
      <c r="B67" s="17">
        <v>60</v>
      </c>
      <c r="C67" s="82">
        <v>2.1052631578947367</v>
      </c>
      <c r="D67" s="82">
        <v>1.9047619047619047</v>
      </c>
      <c r="E67" s="82">
        <v>1.7391304347826086</v>
      </c>
      <c r="F67" s="82">
        <v>1.7391304347826086</v>
      </c>
      <c r="H67" s="84"/>
    </row>
    <row r="68" spans="2:8" x14ac:dyDescent="0.15">
      <c r="B68" s="17">
        <v>61</v>
      </c>
      <c r="C68" s="82">
        <v>2</v>
      </c>
      <c r="D68" s="17"/>
      <c r="E68" s="82">
        <v>1.5384615384615385</v>
      </c>
      <c r="F68" s="82">
        <v>1.9047619047619047</v>
      </c>
      <c r="H68" s="84"/>
    </row>
    <row r="69" spans="2:8" x14ac:dyDescent="0.15">
      <c r="B69" s="17">
        <v>62</v>
      </c>
      <c r="C69" s="82">
        <v>1.9047619047619047</v>
      </c>
      <c r="D69" s="13"/>
      <c r="E69" s="82">
        <v>1.5384615384615385</v>
      </c>
      <c r="F69" s="82">
        <v>2.1052631578947367</v>
      </c>
      <c r="H69" s="84"/>
    </row>
    <row r="70" spans="2:8" x14ac:dyDescent="0.15">
      <c r="B70" s="17">
        <v>63</v>
      </c>
      <c r="C70" s="82">
        <v>2</v>
      </c>
      <c r="D70" s="13"/>
      <c r="E70" s="82">
        <v>1.6666666666666667</v>
      </c>
      <c r="F70" s="82">
        <v>1.6666666666666667</v>
      </c>
      <c r="H70" s="84"/>
    </row>
    <row r="71" spans="2:8" x14ac:dyDescent="0.15">
      <c r="B71" s="17">
        <v>64</v>
      </c>
      <c r="C71" s="82">
        <v>1.9047619047619047</v>
      </c>
      <c r="D71" s="13"/>
      <c r="E71" s="82">
        <v>1.5384615384615385</v>
      </c>
      <c r="F71" s="82">
        <v>1.6666666666666667</v>
      </c>
      <c r="H71" s="84"/>
    </row>
    <row r="72" spans="2:8" x14ac:dyDescent="0.15">
      <c r="B72" s="17">
        <v>65</v>
      </c>
      <c r="C72" s="82">
        <v>2</v>
      </c>
      <c r="D72" s="13"/>
      <c r="E72" s="82">
        <v>1.8181818181818181</v>
      </c>
      <c r="F72" s="82">
        <v>1.7391304347826086</v>
      </c>
      <c r="H72" s="84"/>
    </row>
    <row r="73" spans="2:8" x14ac:dyDescent="0.15">
      <c r="B73" s="17">
        <v>66</v>
      </c>
      <c r="C73" s="82">
        <v>1.9047619047619047</v>
      </c>
      <c r="D73" s="13"/>
      <c r="E73" s="82">
        <v>1.7391304347826086</v>
      </c>
      <c r="F73" s="82">
        <v>1.7391304347826086</v>
      </c>
      <c r="H73" s="84"/>
    </row>
    <row r="74" spans="2:8" x14ac:dyDescent="0.15">
      <c r="B74" s="17">
        <v>67</v>
      </c>
      <c r="C74" s="82">
        <v>1.7391304347826086</v>
      </c>
      <c r="D74" s="13"/>
      <c r="E74" s="82">
        <v>1.8181818181818181</v>
      </c>
      <c r="F74" s="82">
        <v>1.7391304347826086</v>
      </c>
      <c r="H74" s="84"/>
    </row>
    <row r="75" spans="2:8" x14ac:dyDescent="0.15">
      <c r="B75" s="17">
        <v>68</v>
      </c>
      <c r="C75" s="82">
        <v>2</v>
      </c>
      <c r="D75" s="13"/>
      <c r="E75" s="82">
        <v>1.8181818181818181</v>
      </c>
      <c r="F75" s="82">
        <v>1.7391304347826086</v>
      </c>
      <c r="H75" s="84"/>
    </row>
    <row r="76" spans="2:8" x14ac:dyDescent="0.15">
      <c r="B76" s="17">
        <v>69</v>
      </c>
      <c r="C76" s="82">
        <v>1.9047619047619047</v>
      </c>
      <c r="D76" s="13"/>
      <c r="E76" s="82">
        <v>1.6666666666666667</v>
      </c>
      <c r="F76" s="82">
        <v>1.8181818181818181</v>
      </c>
      <c r="H76" s="84"/>
    </row>
    <row r="77" spans="2:8" x14ac:dyDescent="0.15">
      <c r="B77" s="17">
        <v>70</v>
      </c>
      <c r="C77" s="82">
        <v>1.8181818181818181</v>
      </c>
      <c r="D77" s="17"/>
      <c r="E77" s="82">
        <v>1.7391304347826086</v>
      </c>
      <c r="F77" s="82">
        <v>1.8181818181818181</v>
      </c>
      <c r="H77" s="84"/>
    </row>
    <row r="78" spans="2:8" x14ac:dyDescent="0.15">
      <c r="B78" s="17">
        <v>71</v>
      </c>
      <c r="C78" s="82">
        <v>1.8181818181818181</v>
      </c>
      <c r="D78" s="17"/>
      <c r="E78" s="82">
        <v>1.6666666666666667</v>
      </c>
      <c r="F78" s="82">
        <v>1.8181818181818181</v>
      </c>
      <c r="H78" s="84"/>
    </row>
    <row r="79" spans="2:8" x14ac:dyDescent="0.15">
      <c r="B79" s="17">
        <v>72</v>
      </c>
      <c r="C79" s="82">
        <v>1.8181818181818181</v>
      </c>
      <c r="D79" s="13"/>
      <c r="E79" s="82">
        <v>1.9047619047619047</v>
      </c>
      <c r="F79" s="82">
        <v>1.6666666666666667</v>
      </c>
      <c r="H79" s="84"/>
    </row>
    <row r="80" spans="2:8" x14ac:dyDescent="0.15">
      <c r="B80" s="17">
        <v>73</v>
      </c>
      <c r="C80" s="82">
        <v>1.9047619047619047</v>
      </c>
      <c r="D80" s="13"/>
      <c r="E80" s="82">
        <v>1.5384615384615385</v>
      </c>
      <c r="F80" s="82">
        <v>1.8181818181818181</v>
      </c>
      <c r="H80" s="84"/>
    </row>
    <row r="81" spans="2:9" x14ac:dyDescent="0.15">
      <c r="B81" s="17">
        <v>74</v>
      </c>
      <c r="C81" s="82">
        <v>1.7391304347826086</v>
      </c>
      <c r="D81" s="13"/>
      <c r="E81" s="82">
        <v>1.6666666666666667</v>
      </c>
      <c r="F81" s="82">
        <v>1.6</v>
      </c>
      <c r="H81" s="84"/>
    </row>
    <row r="82" spans="2:9" x14ac:dyDescent="0.15">
      <c r="B82" s="17">
        <v>75</v>
      </c>
      <c r="C82" s="82">
        <v>1.7391304347826086</v>
      </c>
      <c r="D82" s="13"/>
      <c r="E82" s="82">
        <v>1.5384615384615385</v>
      </c>
      <c r="F82" s="85">
        <v>1.5384615384615385</v>
      </c>
      <c r="H82" s="84"/>
    </row>
    <row r="83" spans="2:9" x14ac:dyDescent="0.15">
      <c r="B83" s="17">
        <v>76</v>
      </c>
      <c r="C83" s="82">
        <v>2</v>
      </c>
      <c r="D83" s="13"/>
      <c r="E83" s="82">
        <v>1.6666666666666667</v>
      </c>
      <c r="F83" s="85">
        <v>1.5384615384615385</v>
      </c>
      <c r="H83" s="84"/>
    </row>
    <row r="84" spans="2:9" x14ac:dyDescent="0.15">
      <c r="B84" s="17">
        <v>77</v>
      </c>
      <c r="C84" s="82">
        <v>2</v>
      </c>
      <c r="D84" s="13"/>
      <c r="E84" s="82">
        <v>1.6</v>
      </c>
      <c r="F84" s="85">
        <v>1.7391304347826086</v>
      </c>
      <c r="H84" s="84"/>
      <c r="I84" s="84"/>
    </row>
    <row r="85" spans="2:9" x14ac:dyDescent="0.15">
      <c r="B85" s="17">
        <v>78</v>
      </c>
      <c r="C85" s="82">
        <v>1.8181818181818181</v>
      </c>
      <c r="D85" s="13"/>
      <c r="E85" s="82">
        <v>1.5384615384615385</v>
      </c>
      <c r="F85" s="82">
        <v>1.9047619047619047</v>
      </c>
      <c r="H85" s="84"/>
    </row>
    <row r="86" spans="2:9" x14ac:dyDescent="0.15">
      <c r="B86" s="17">
        <v>79</v>
      </c>
      <c r="C86" s="82">
        <v>1.8181818181818181</v>
      </c>
      <c r="D86" s="13"/>
      <c r="E86" s="82">
        <v>1.6</v>
      </c>
      <c r="F86" s="82">
        <v>1.6666666666666667</v>
      </c>
      <c r="H86" s="84"/>
    </row>
    <row r="87" spans="2:9" x14ac:dyDescent="0.15">
      <c r="B87" s="17">
        <v>80</v>
      </c>
      <c r="C87" s="82">
        <v>2</v>
      </c>
      <c r="D87" s="17"/>
      <c r="E87" s="82">
        <v>1.4285714285714286</v>
      </c>
      <c r="F87" s="82">
        <v>1.6666666666666667</v>
      </c>
      <c r="H87" s="84"/>
      <c r="I87" s="84"/>
    </row>
    <row r="88" spans="2:9" x14ac:dyDescent="0.15">
      <c r="B88" s="17">
        <v>81</v>
      </c>
      <c r="C88" s="82">
        <v>2</v>
      </c>
      <c r="D88" s="17"/>
      <c r="E88" s="82">
        <v>1.4285714285714286</v>
      </c>
      <c r="F88" s="85">
        <v>1.5384615384615385</v>
      </c>
      <c r="H88" s="84"/>
      <c r="I88" s="84"/>
    </row>
    <row r="89" spans="2:9" x14ac:dyDescent="0.15">
      <c r="B89" s="17">
        <v>82</v>
      </c>
      <c r="C89" s="82">
        <v>2.3529411764705883</v>
      </c>
      <c r="D89" s="17"/>
      <c r="E89" s="82">
        <v>1.4285714285714286</v>
      </c>
      <c r="F89" s="85">
        <v>1.6666666666666667</v>
      </c>
      <c r="H89" s="84"/>
      <c r="I89" s="84"/>
    </row>
    <row r="90" spans="2:9" x14ac:dyDescent="0.15">
      <c r="B90" s="17">
        <v>83</v>
      </c>
      <c r="C90" s="82">
        <v>2.1052631578947367</v>
      </c>
      <c r="D90" s="17"/>
      <c r="E90" s="82">
        <v>1.8181818181818181</v>
      </c>
      <c r="F90" s="85">
        <v>1.8181818181818181</v>
      </c>
      <c r="H90" s="84"/>
      <c r="I90" s="84"/>
    </row>
    <row r="91" spans="2:9" x14ac:dyDescent="0.15">
      <c r="B91" s="17">
        <v>84</v>
      </c>
      <c r="C91" s="82">
        <v>2</v>
      </c>
      <c r="D91" s="13"/>
      <c r="E91" s="82">
        <v>1.7391304347826086</v>
      </c>
      <c r="F91" s="82">
        <v>1.8181818181818181</v>
      </c>
      <c r="H91" s="84"/>
      <c r="I91" s="84"/>
    </row>
    <row r="92" spans="2:9" x14ac:dyDescent="0.15">
      <c r="B92" s="17">
        <v>85</v>
      </c>
      <c r="C92" s="82">
        <v>2.2222222222222223</v>
      </c>
      <c r="D92" s="13"/>
      <c r="E92" s="82">
        <v>1.7391304347826086</v>
      </c>
      <c r="F92" s="82">
        <v>1.9047619047619047</v>
      </c>
      <c r="H92" s="84"/>
      <c r="I92" s="84"/>
    </row>
    <row r="93" spans="2:9" x14ac:dyDescent="0.15">
      <c r="B93" s="17">
        <v>86</v>
      </c>
      <c r="C93" s="82">
        <v>1.6666666666666667</v>
      </c>
      <c r="D93" s="13"/>
      <c r="E93" s="82">
        <v>1.6</v>
      </c>
      <c r="F93" s="82">
        <v>1.6666666666666667</v>
      </c>
      <c r="H93" s="84"/>
      <c r="I93" s="84"/>
    </row>
    <row r="94" spans="2:9" x14ac:dyDescent="0.15">
      <c r="B94" s="17">
        <v>87</v>
      </c>
      <c r="C94" s="82">
        <v>1.6</v>
      </c>
      <c r="D94" s="13"/>
      <c r="E94" s="82">
        <v>1.6</v>
      </c>
      <c r="F94" s="82">
        <v>1.6</v>
      </c>
      <c r="H94" s="84"/>
      <c r="I94" s="84"/>
    </row>
    <row r="95" spans="2:9" x14ac:dyDescent="0.15">
      <c r="B95" s="17">
        <v>88</v>
      </c>
      <c r="C95" s="82">
        <v>2</v>
      </c>
      <c r="D95" s="13"/>
      <c r="E95" s="82">
        <v>1.5384615384615385</v>
      </c>
      <c r="F95" s="82">
        <v>2</v>
      </c>
      <c r="H95" s="84"/>
    </row>
    <row r="96" spans="2:9" x14ac:dyDescent="0.15">
      <c r="B96" s="17">
        <v>89</v>
      </c>
      <c r="C96" s="82">
        <v>1.7391304347826086</v>
      </c>
      <c r="D96" s="13"/>
      <c r="E96" s="82">
        <v>1.5384615384615385</v>
      </c>
      <c r="F96" s="82">
        <v>1.9047619047619047</v>
      </c>
      <c r="H96" s="84"/>
    </row>
    <row r="97" spans="2:9" x14ac:dyDescent="0.15">
      <c r="B97" s="17">
        <v>90</v>
      </c>
      <c r="C97" s="82">
        <v>1.8181818181818181</v>
      </c>
      <c r="D97" s="17"/>
      <c r="E97" s="82">
        <v>1.5384615384615385</v>
      </c>
      <c r="F97" s="85">
        <v>1.7391304347826086</v>
      </c>
      <c r="H97" s="84"/>
    </row>
    <row r="98" spans="2:9" x14ac:dyDescent="0.15">
      <c r="B98" s="17">
        <v>91</v>
      </c>
      <c r="C98" s="82">
        <v>1.7391304347826086</v>
      </c>
      <c r="D98" s="17"/>
      <c r="E98" s="82">
        <v>1.5384615384615385</v>
      </c>
      <c r="F98" s="85">
        <v>1.7391304347826086</v>
      </c>
      <c r="H98" s="84"/>
      <c r="I98" s="84"/>
    </row>
    <row r="99" spans="2:9" x14ac:dyDescent="0.15">
      <c r="B99" s="17">
        <v>92</v>
      </c>
      <c r="C99" s="82">
        <v>1.6</v>
      </c>
      <c r="D99" s="17"/>
      <c r="E99" s="82">
        <v>1.7391304347826086</v>
      </c>
      <c r="F99" s="85">
        <v>1.9047619047619047</v>
      </c>
      <c r="H99" s="84"/>
      <c r="I99" s="84"/>
    </row>
    <row r="100" spans="2:9" x14ac:dyDescent="0.15">
      <c r="B100" s="17">
        <v>93</v>
      </c>
      <c r="C100" s="82">
        <v>1.9047619047619047</v>
      </c>
      <c r="D100" s="17"/>
      <c r="E100" s="82">
        <v>1.7391304347826086</v>
      </c>
      <c r="F100" s="85">
        <v>1.6666666666666667</v>
      </c>
      <c r="H100" s="84"/>
      <c r="I100" s="84"/>
    </row>
    <row r="101" spans="2:9" x14ac:dyDescent="0.15">
      <c r="B101" s="17">
        <v>94</v>
      </c>
      <c r="C101" s="82">
        <v>1.6666666666666667</v>
      </c>
      <c r="D101" s="17"/>
      <c r="E101" s="82">
        <v>1.8181818181818181</v>
      </c>
      <c r="F101" s="85">
        <v>1.9047619047619047</v>
      </c>
      <c r="H101" s="84"/>
      <c r="I101" s="84"/>
    </row>
    <row r="102" spans="2:9" x14ac:dyDescent="0.15">
      <c r="B102" s="17">
        <v>95</v>
      </c>
      <c r="C102" s="82">
        <v>1.7391304347826086</v>
      </c>
      <c r="D102" s="17"/>
      <c r="E102" s="82">
        <v>1.8181818181818181</v>
      </c>
      <c r="F102" s="82">
        <v>1.7391304347826086</v>
      </c>
    </row>
    <row r="103" spans="2:9" x14ac:dyDescent="0.15">
      <c r="B103" s="17">
        <v>96</v>
      </c>
      <c r="C103" s="82">
        <v>1.6666666666666667</v>
      </c>
      <c r="D103" s="17"/>
      <c r="E103" s="82">
        <v>1.6666666666666667</v>
      </c>
      <c r="F103" s="85">
        <v>1.7391304347826086</v>
      </c>
    </row>
    <row r="104" spans="2:9" x14ac:dyDescent="0.15">
      <c r="B104" s="17">
        <v>97</v>
      </c>
      <c r="C104" s="82">
        <v>2</v>
      </c>
      <c r="D104" s="17"/>
      <c r="E104" s="82">
        <v>1.8181818181818181</v>
      </c>
      <c r="F104" s="85">
        <v>1.7391304347826086</v>
      </c>
    </row>
    <row r="105" spans="2:9" x14ac:dyDescent="0.15">
      <c r="B105" s="17">
        <v>98</v>
      </c>
      <c r="C105" s="82">
        <v>1.9047619047619047</v>
      </c>
      <c r="D105" s="17"/>
      <c r="E105" s="82">
        <v>1.8181818181818181</v>
      </c>
      <c r="F105" s="85">
        <v>1.6666666666666667</v>
      </c>
    </row>
    <row r="106" spans="2:9" x14ac:dyDescent="0.15">
      <c r="B106" s="17">
        <v>99</v>
      </c>
      <c r="C106" s="82">
        <v>1.9047619047619047</v>
      </c>
      <c r="D106" s="17"/>
      <c r="E106" s="82">
        <v>1.7391304347826086</v>
      </c>
      <c r="F106" s="82">
        <v>1.7391304347826086</v>
      </c>
    </row>
    <row r="107" spans="2:9" x14ac:dyDescent="0.15">
      <c r="B107" s="17">
        <v>100</v>
      </c>
      <c r="C107" s="82">
        <v>2</v>
      </c>
      <c r="D107" s="17"/>
      <c r="E107" s="82">
        <v>1.7391304347826086</v>
      </c>
      <c r="F107" s="82">
        <v>1.6666666666666667</v>
      </c>
    </row>
    <row r="108" spans="2:9" x14ac:dyDescent="0.15">
      <c r="B108" s="17">
        <v>101</v>
      </c>
      <c r="C108" s="82">
        <v>1.7391304347826086</v>
      </c>
      <c r="D108" s="17"/>
      <c r="E108" s="82">
        <v>1.6666666666666667</v>
      </c>
      <c r="F108" s="82">
        <v>1.6666666666666667</v>
      </c>
      <c r="H108" s="84"/>
    </row>
    <row r="109" spans="2:9" x14ac:dyDescent="0.15">
      <c r="B109" s="17">
        <v>102</v>
      </c>
      <c r="C109" s="82">
        <v>1.8604651162790697</v>
      </c>
      <c r="D109" s="17"/>
      <c r="E109" s="82">
        <v>1.6666666666666667</v>
      </c>
      <c r="F109" s="82">
        <v>1.8181818181818181</v>
      </c>
      <c r="H109" s="84"/>
    </row>
    <row r="110" spans="2:9" x14ac:dyDescent="0.15">
      <c r="B110" s="17">
        <v>103</v>
      </c>
      <c r="C110" s="82">
        <v>2</v>
      </c>
      <c r="D110" s="17"/>
      <c r="E110" s="82">
        <v>1.6666666666666667</v>
      </c>
      <c r="F110" s="82">
        <v>1.6666666666666667</v>
      </c>
      <c r="H110" s="84"/>
      <c r="I110" s="84"/>
    </row>
    <row r="111" spans="2:9" x14ac:dyDescent="0.15">
      <c r="B111" s="17">
        <v>104</v>
      </c>
      <c r="C111" s="82">
        <v>2.1052631578947367</v>
      </c>
      <c r="D111" s="17"/>
      <c r="E111" s="82">
        <v>1.6666666666666667</v>
      </c>
      <c r="F111" s="82">
        <v>1.8181818181818181</v>
      </c>
      <c r="G111" s="84"/>
      <c r="H111" s="84"/>
      <c r="I111" s="84"/>
    </row>
    <row r="112" spans="2:9" x14ac:dyDescent="0.15">
      <c r="B112" s="17">
        <v>105</v>
      </c>
      <c r="C112" s="82">
        <v>1.6666666666666667</v>
      </c>
      <c r="D112" s="17"/>
      <c r="E112" s="82">
        <v>1.7391304347826086</v>
      </c>
      <c r="F112" s="82">
        <v>1.9047619047619047</v>
      </c>
      <c r="G112" s="84"/>
      <c r="H112" s="84"/>
      <c r="I112" s="84"/>
    </row>
    <row r="113" spans="2:9" x14ac:dyDescent="0.15">
      <c r="B113" s="17">
        <v>106</v>
      </c>
      <c r="C113" s="82">
        <v>1.6666666666666667</v>
      </c>
      <c r="D113" s="17"/>
      <c r="E113" s="82">
        <v>1.6666666666666667</v>
      </c>
      <c r="F113" s="82">
        <v>1.7391304347826086</v>
      </c>
      <c r="G113" s="84"/>
      <c r="H113" s="84"/>
      <c r="I113" s="84"/>
    </row>
    <row r="114" spans="2:9" x14ac:dyDescent="0.15">
      <c r="B114" s="17">
        <v>107</v>
      </c>
      <c r="C114" s="82">
        <v>2.0512820512820511</v>
      </c>
      <c r="D114" s="17"/>
      <c r="E114" s="82">
        <v>1.8181818181818181</v>
      </c>
      <c r="F114" s="82">
        <v>1.8181818181818181</v>
      </c>
      <c r="G114" s="84"/>
      <c r="H114" s="84"/>
      <c r="I114" s="84"/>
    </row>
    <row r="115" spans="2:9" x14ac:dyDescent="0.15">
      <c r="B115" s="17">
        <v>108</v>
      </c>
      <c r="C115" s="82">
        <v>1.7391304347826086</v>
      </c>
      <c r="D115" s="17"/>
      <c r="E115" s="82">
        <v>1.6</v>
      </c>
      <c r="F115" s="82">
        <v>1.8181818181818181</v>
      </c>
      <c r="G115" s="84"/>
      <c r="H115" s="84"/>
      <c r="I115" s="84"/>
    </row>
    <row r="116" spans="2:9" x14ac:dyDescent="0.15">
      <c r="B116" s="17">
        <v>109</v>
      </c>
      <c r="C116" s="82">
        <v>1.6326530612244898</v>
      </c>
      <c r="D116" s="17"/>
      <c r="E116" s="82">
        <v>1.6666666666666667</v>
      </c>
      <c r="F116" s="82">
        <v>1.8181818181818181</v>
      </c>
      <c r="G116" s="84"/>
      <c r="H116" s="84"/>
      <c r="I116" s="84"/>
    </row>
    <row r="117" spans="2:9" x14ac:dyDescent="0.15">
      <c r="B117" s="17">
        <v>110</v>
      </c>
      <c r="C117" s="82">
        <v>1.7391304347826086</v>
      </c>
      <c r="D117" s="17"/>
      <c r="E117" s="82">
        <v>1.6666666666666667</v>
      </c>
      <c r="F117" s="82">
        <v>1.7391304347826086</v>
      </c>
      <c r="G117" s="84"/>
      <c r="H117" s="84"/>
      <c r="I117" s="84"/>
    </row>
    <row r="118" spans="2:9" x14ac:dyDescent="0.15">
      <c r="B118" s="17">
        <v>111</v>
      </c>
      <c r="C118" s="82">
        <v>1.8181818181818181</v>
      </c>
      <c r="D118" s="17"/>
      <c r="E118" s="82">
        <v>2</v>
      </c>
      <c r="F118" s="82">
        <v>1.6666666666666667</v>
      </c>
    </row>
    <row r="119" spans="2:9" x14ac:dyDescent="0.15">
      <c r="B119" s="17">
        <v>112</v>
      </c>
      <c r="C119" s="82">
        <v>1.7777777777777777</v>
      </c>
      <c r="D119" s="17"/>
      <c r="E119" s="82">
        <v>2</v>
      </c>
      <c r="F119" s="82">
        <v>1.6666666666666667</v>
      </c>
    </row>
    <row r="120" spans="2:9" x14ac:dyDescent="0.15">
      <c r="B120" s="17">
        <v>113</v>
      </c>
      <c r="C120" s="82">
        <v>1.7021276595744681</v>
      </c>
      <c r="D120" s="17"/>
      <c r="E120" s="82">
        <v>1.9047619047619047</v>
      </c>
      <c r="F120" s="82">
        <v>1.6666666666666667</v>
      </c>
    </row>
    <row r="121" spans="2:9" x14ac:dyDescent="0.15">
      <c r="B121" s="17">
        <v>114</v>
      </c>
      <c r="C121" s="82">
        <v>1.7391304347826086</v>
      </c>
      <c r="D121" s="17"/>
      <c r="E121" s="82">
        <v>1.8181818181818181</v>
      </c>
      <c r="F121" s="82">
        <v>2</v>
      </c>
    </row>
    <row r="122" spans="2:9" x14ac:dyDescent="0.15">
      <c r="B122" s="17">
        <v>115</v>
      </c>
      <c r="C122" s="85">
        <v>1.7021276595744681</v>
      </c>
      <c r="D122" s="17"/>
      <c r="E122" s="82">
        <v>1.6666666666666667</v>
      </c>
      <c r="F122" s="82">
        <v>2</v>
      </c>
    </row>
    <row r="123" spans="2:9" x14ac:dyDescent="0.15">
      <c r="B123" s="17">
        <v>116</v>
      </c>
      <c r="C123" s="85">
        <v>1.7391304347826086</v>
      </c>
      <c r="D123" s="17"/>
      <c r="E123" s="82">
        <v>1.6666666666666667</v>
      </c>
      <c r="F123" s="82">
        <v>1.8181818181818181</v>
      </c>
    </row>
    <row r="124" spans="2:9" x14ac:dyDescent="0.15">
      <c r="B124" s="17">
        <v>117</v>
      </c>
      <c r="C124" s="85">
        <v>1.7391304347826086</v>
      </c>
      <c r="D124" s="17"/>
      <c r="E124" s="82">
        <v>1.6666666666666667</v>
      </c>
      <c r="F124" s="82">
        <v>1.6</v>
      </c>
    </row>
    <row r="125" spans="2:9" x14ac:dyDescent="0.15">
      <c r="B125" s="17">
        <v>118</v>
      </c>
      <c r="C125" s="85">
        <v>1.6</v>
      </c>
      <c r="D125" s="17"/>
      <c r="E125" s="82">
        <v>1.6666666666666667</v>
      </c>
      <c r="F125" s="82">
        <v>1.8181818181818181</v>
      </c>
    </row>
    <row r="126" spans="2:9" x14ac:dyDescent="0.15">
      <c r="B126" s="17">
        <v>119</v>
      </c>
      <c r="C126" s="82">
        <v>1.6326530612244898</v>
      </c>
      <c r="D126" s="17"/>
      <c r="E126" s="82">
        <v>1.6666666666666667</v>
      </c>
      <c r="F126" s="82">
        <v>1.6666666666666667</v>
      </c>
    </row>
    <row r="127" spans="2:9" x14ac:dyDescent="0.15">
      <c r="B127" s="17">
        <v>120</v>
      </c>
      <c r="C127" s="82">
        <v>1.7021276595744681</v>
      </c>
      <c r="D127" s="17"/>
      <c r="E127" s="82">
        <v>1.6666666666666667</v>
      </c>
      <c r="F127" s="82">
        <v>1.7391304347826086</v>
      </c>
      <c r="G127" s="84"/>
      <c r="H127" s="84"/>
      <c r="I127" s="84"/>
    </row>
    <row r="128" spans="2:9" x14ac:dyDescent="0.15">
      <c r="B128" s="17">
        <v>121</v>
      </c>
      <c r="C128" s="82">
        <v>1.7777777777777777</v>
      </c>
      <c r="D128" s="17"/>
      <c r="E128" s="82">
        <v>1.6666666666666667</v>
      </c>
      <c r="F128" s="82">
        <v>1.7391304347826086</v>
      </c>
      <c r="H128" s="84"/>
    </row>
    <row r="129" spans="2:9" x14ac:dyDescent="0.15">
      <c r="B129" s="17">
        <v>122</v>
      </c>
      <c r="C129" s="82">
        <v>1.6666666666666667</v>
      </c>
      <c r="D129" s="17"/>
      <c r="E129" s="82">
        <v>2.2222222222222223</v>
      </c>
      <c r="F129" s="82">
        <v>1.7391304347826086</v>
      </c>
      <c r="H129" s="84"/>
    </row>
    <row r="130" spans="2:9" x14ac:dyDescent="0.15">
      <c r="B130" s="17">
        <v>123</v>
      </c>
      <c r="C130" s="82">
        <v>1.6326530612244898</v>
      </c>
      <c r="D130" s="17"/>
      <c r="E130" s="82">
        <v>2</v>
      </c>
      <c r="F130" s="82">
        <v>1.6</v>
      </c>
      <c r="H130" s="84"/>
      <c r="I130" s="84"/>
    </row>
    <row r="131" spans="2:9" x14ac:dyDescent="0.15">
      <c r="B131" s="17">
        <v>124</v>
      </c>
      <c r="C131" s="82">
        <v>1.8181818181818181</v>
      </c>
      <c r="D131" s="17"/>
      <c r="E131" s="82">
        <v>1.9047619047619047</v>
      </c>
      <c r="F131" s="82">
        <v>1.6666666666666667</v>
      </c>
      <c r="G131" s="84"/>
      <c r="H131" s="84"/>
      <c r="I131" s="84"/>
    </row>
    <row r="132" spans="2:9" x14ac:dyDescent="0.15">
      <c r="B132" s="17">
        <v>125</v>
      </c>
      <c r="C132" s="82">
        <v>1.7777777777777777</v>
      </c>
      <c r="D132" s="17"/>
      <c r="E132" s="82">
        <v>1.6666666666666667</v>
      </c>
      <c r="F132" s="82">
        <v>1.6666666666666667</v>
      </c>
      <c r="G132" s="84"/>
      <c r="H132" s="84"/>
      <c r="I132" s="84"/>
    </row>
    <row r="133" spans="2:9" x14ac:dyDescent="0.15">
      <c r="B133" s="17">
        <v>126</v>
      </c>
      <c r="C133" s="82">
        <v>1.9512195121951219</v>
      </c>
      <c r="D133" s="17"/>
      <c r="E133" s="82">
        <v>1.6666666666666667</v>
      </c>
      <c r="F133" s="82">
        <v>1.8181818181818181</v>
      </c>
      <c r="G133" s="84"/>
      <c r="H133" s="84"/>
      <c r="I133" s="84"/>
    </row>
    <row r="134" spans="2:9" x14ac:dyDescent="0.15">
      <c r="B134" s="17">
        <v>127</v>
      </c>
      <c r="C134" s="82">
        <v>1.9512195121951219</v>
      </c>
      <c r="D134" s="17"/>
      <c r="E134" s="82">
        <v>1.8181818181818181</v>
      </c>
      <c r="F134" s="82">
        <v>1.6666666666666667</v>
      </c>
      <c r="G134" s="84"/>
      <c r="H134" s="84"/>
      <c r="I134" s="84"/>
    </row>
    <row r="135" spans="2:9" x14ac:dyDescent="0.15">
      <c r="B135" s="17">
        <v>128</v>
      </c>
      <c r="C135" s="82">
        <v>1.7021276595744681</v>
      </c>
      <c r="D135" s="17"/>
      <c r="E135" s="82">
        <v>1.6666666666666667</v>
      </c>
      <c r="F135" s="82">
        <v>1.6</v>
      </c>
      <c r="G135" s="84"/>
      <c r="H135" s="84"/>
      <c r="I135" s="84"/>
    </row>
    <row r="136" spans="2:9" x14ac:dyDescent="0.15">
      <c r="B136" s="17">
        <v>129</v>
      </c>
      <c r="C136" s="82">
        <v>2.1052631578947367</v>
      </c>
      <c r="D136" s="17"/>
      <c r="E136" s="82">
        <v>2</v>
      </c>
      <c r="F136" s="82">
        <v>1.6666666666666667</v>
      </c>
      <c r="G136" s="84"/>
      <c r="H136" s="84"/>
      <c r="I136" s="84"/>
    </row>
    <row r="137" spans="2:9" x14ac:dyDescent="0.15">
      <c r="B137" s="17">
        <v>130</v>
      </c>
      <c r="C137" s="82">
        <v>2</v>
      </c>
      <c r="D137" s="17"/>
      <c r="E137" s="82">
        <v>1.8181818181818181</v>
      </c>
      <c r="F137" s="82">
        <v>1.6</v>
      </c>
      <c r="G137" s="84"/>
      <c r="H137" s="84"/>
      <c r="I137" s="84"/>
    </row>
    <row r="138" spans="2:9" x14ac:dyDescent="0.15">
      <c r="B138" s="17">
        <v>131</v>
      </c>
      <c r="C138" s="82">
        <v>1.7391304347826086</v>
      </c>
      <c r="D138" s="17"/>
      <c r="E138" s="82">
        <v>1.5384615384615385</v>
      </c>
      <c r="F138" s="82">
        <v>1.6666666666666667</v>
      </c>
    </row>
    <row r="139" spans="2:9" x14ac:dyDescent="0.15">
      <c r="B139" s="17">
        <v>132</v>
      </c>
      <c r="C139" s="82">
        <v>1.6666666666666667</v>
      </c>
      <c r="D139" s="17"/>
      <c r="E139" s="82">
        <v>1.7391304347826086</v>
      </c>
      <c r="F139" s="82">
        <v>1.6666666666666667</v>
      </c>
    </row>
    <row r="140" spans="2:9" x14ac:dyDescent="0.15">
      <c r="B140" s="17">
        <v>133</v>
      </c>
      <c r="C140" s="82">
        <v>1.7021276595744681</v>
      </c>
      <c r="D140" s="17"/>
      <c r="E140" s="82">
        <v>1.5384615384615385</v>
      </c>
      <c r="F140" s="82">
        <v>1.6666666666666667</v>
      </c>
    </row>
    <row r="141" spans="2:9" x14ac:dyDescent="0.15">
      <c r="B141" s="17">
        <v>134</v>
      </c>
      <c r="C141" s="82">
        <v>1.6666666666666667</v>
      </c>
      <c r="D141" s="17"/>
      <c r="E141" s="82">
        <v>1.7391304347826086</v>
      </c>
      <c r="F141" s="82">
        <v>1.6</v>
      </c>
    </row>
    <row r="142" spans="2:9" x14ac:dyDescent="0.15">
      <c r="B142" s="17">
        <v>135</v>
      </c>
      <c r="C142" s="82">
        <v>1.9047619047619047</v>
      </c>
      <c r="D142" s="17"/>
      <c r="E142" s="82">
        <v>1.8181818181818181</v>
      </c>
      <c r="F142" s="82">
        <v>1.6666666666666667</v>
      </c>
    </row>
    <row r="143" spans="2:9" x14ac:dyDescent="0.15">
      <c r="B143" s="17">
        <v>136</v>
      </c>
      <c r="C143" s="82">
        <v>1.6666666666666667</v>
      </c>
      <c r="D143" s="17"/>
      <c r="E143" s="82">
        <v>2</v>
      </c>
      <c r="F143" s="82">
        <v>1.6666666666666667</v>
      </c>
    </row>
    <row r="144" spans="2:9" x14ac:dyDescent="0.15">
      <c r="B144" s="17">
        <v>137</v>
      </c>
      <c r="C144" s="82">
        <v>1.6</v>
      </c>
      <c r="D144" s="17"/>
      <c r="E144" s="82">
        <v>1.6666666666666667</v>
      </c>
      <c r="F144" s="82">
        <v>1.6666666666666667</v>
      </c>
    </row>
    <row r="145" spans="2:6" x14ac:dyDescent="0.15">
      <c r="B145" s="17">
        <v>138</v>
      </c>
      <c r="C145" s="82">
        <v>1.7391304347826086</v>
      </c>
      <c r="D145" s="17"/>
      <c r="E145" s="82">
        <v>1.6</v>
      </c>
      <c r="F145" s="82">
        <v>1.8181818181818181</v>
      </c>
    </row>
    <row r="146" spans="2:6" x14ac:dyDescent="0.15">
      <c r="B146" s="17">
        <v>139</v>
      </c>
      <c r="C146" s="82">
        <v>1.6666666666666667</v>
      </c>
      <c r="D146" s="17"/>
      <c r="E146" s="82">
        <v>1.5384615384615385</v>
      </c>
      <c r="F146" s="82">
        <v>1.8181818181818181</v>
      </c>
    </row>
    <row r="147" spans="2:6" x14ac:dyDescent="0.15">
      <c r="B147" s="17">
        <v>140</v>
      </c>
      <c r="C147" s="82">
        <v>1.6666666666666667</v>
      </c>
      <c r="D147" s="17"/>
      <c r="E147" s="82">
        <v>1.6</v>
      </c>
      <c r="F147" s="82">
        <v>1.8181818181818181</v>
      </c>
    </row>
    <row r="148" spans="2:6" x14ac:dyDescent="0.15">
      <c r="B148" s="17">
        <v>141</v>
      </c>
      <c r="C148" s="82">
        <v>1.9047619047619047</v>
      </c>
      <c r="D148" s="17"/>
      <c r="E148" s="82">
        <v>1.6666666666666667</v>
      </c>
      <c r="F148" s="82">
        <v>1.8181818181818181</v>
      </c>
    </row>
    <row r="149" spans="2:6" x14ac:dyDescent="0.15">
      <c r="B149" s="17">
        <v>142</v>
      </c>
      <c r="C149" s="82">
        <v>1.7391304347826086</v>
      </c>
      <c r="D149" s="17"/>
      <c r="E149" s="82">
        <v>1.5384615384615385</v>
      </c>
      <c r="F149" s="82">
        <v>1.7391304347826086</v>
      </c>
    </row>
    <row r="150" spans="2:6" x14ac:dyDescent="0.15">
      <c r="B150" s="17">
        <v>143</v>
      </c>
      <c r="C150" s="82">
        <v>1.8181818181818181</v>
      </c>
      <c r="D150" s="17"/>
      <c r="E150" s="82">
        <v>1.6666666666666667</v>
      </c>
      <c r="F150" s="82">
        <v>1.6666666666666667</v>
      </c>
    </row>
    <row r="151" spans="2:6" x14ac:dyDescent="0.15">
      <c r="B151" s="17">
        <v>144</v>
      </c>
      <c r="C151" s="82">
        <v>1.7391304347826086</v>
      </c>
      <c r="D151" s="17"/>
      <c r="E151" s="82">
        <v>1.6</v>
      </c>
      <c r="F151" s="82">
        <v>1.6666666666666667</v>
      </c>
    </row>
    <row r="152" spans="2:6" x14ac:dyDescent="0.15">
      <c r="B152" s="17">
        <v>145</v>
      </c>
      <c r="C152" s="82">
        <v>1.9047619047619047</v>
      </c>
      <c r="D152" s="17"/>
      <c r="E152" s="82">
        <v>1.4814814814814814</v>
      </c>
      <c r="F152" s="82">
        <v>1.8181818181818181</v>
      </c>
    </row>
    <row r="153" spans="2:6" x14ac:dyDescent="0.15">
      <c r="B153" s="17">
        <v>146</v>
      </c>
      <c r="C153" s="82">
        <v>2.3529411764705883</v>
      </c>
      <c r="D153" s="17"/>
      <c r="E153" s="82">
        <v>1.4285714285714286</v>
      </c>
      <c r="F153" s="82">
        <v>1.6666666666666667</v>
      </c>
    </row>
    <row r="154" spans="2:6" x14ac:dyDescent="0.15">
      <c r="B154" s="17">
        <v>147</v>
      </c>
      <c r="C154" s="82">
        <v>2.1052631578947367</v>
      </c>
      <c r="D154" s="17"/>
      <c r="E154" s="82">
        <v>1.4285714285714286</v>
      </c>
      <c r="F154" s="82">
        <v>1.8181818181818181</v>
      </c>
    </row>
    <row r="155" spans="2:6" x14ac:dyDescent="0.15">
      <c r="B155" s="17">
        <v>148</v>
      </c>
      <c r="C155" s="82">
        <v>2</v>
      </c>
      <c r="D155" s="17"/>
      <c r="E155" s="82">
        <v>1.8181818181818181</v>
      </c>
      <c r="F155" s="82">
        <v>1.6666666666666667</v>
      </c>
    </row>
    <row r="156" spans="2:6" x14ac:dyDescent="0.15">
      <c r="B156" s="17">
        <v>149</v>
      </c>
      <c r="C156" s="82">
        <v>2.2222222222222223</v>
      </c>
      <c r="D156" s="17"/>
      <c r="E156" s="82">
        <v>1.7391304347826086</v>
      </c>
      <c r="F156" s="82">
        <v>1.8181818181818181</v>
      </c>
    </row>
    <row r="157" spans="2:6" x14ac:dyDescent="0.15">
      <c r="B157" s="17">
        <v>150</v>
      </c>
      <c r="C157" s="82">
        <v>1.6666666666666667</v>
      </c>
      <c r="D157" s="17"/>
      <c r="E157" s="82">
        <v>1.7391304347826086</v>
      </c>
      <c r="F157" s="82">
        <v>1.9047619047619047</v>
      </c>
    </row>
    <row r="158" spans="2:6" x14ac:dyDescent="0.15">
      <c r="B158" s="17">
        <v>151</v>
      </c>
      <c r="C158" s="82">
        <v>1.6</v>
      </c>
      <c r="D158" s="17"/>
      <c r="E158" s="82">
        <v>1.6</v>
      </c>
      <c r="F158" s="82">
        <v>2.1052631578947367</v>
      </c>
    </row>
    <row r="159" spans="2:6" x14ac:dyDescent="0.15">
      <c r="B159" s="17">
        <v>152</v>
      </c>
      <c r="C159" s="82">
        <v>2</v>
      </c>
      <c r="D159" s="17"/>
      <c r="E159" s="82">
        <v>1.6666666666666667</v>
      </c>
      <c r="F159" s="82">
        <v>1.8181818181818181</v>
      </c>
    </row>
    <row r="160" spans="2:6" x14ac:dyDescent="0.15">
      <c r="B160" s="17">
        <v>153</v>
      </c>
      <c r="C160" s="82">
        <v>1.7391304347826086</v>
      </c>
      <c r="D160" s="17"/>
      <c r="E160" s="82">
        <v>1.5384615384615385</v>
      </c>
      <c r="F160" s="82">
        <v>1.6666666666666667</v>
      </c>
    </row>
    <row r="161" spans="2:9" x14ac:dyDescent="0.15">
      <c r="B161" s="17">
        <v>154</v>
      </c>
      <c r="C161" s="82">
        <v>1.8181818181818181</v>
      </c>
      <c r="D161" s="17"/>
      <c r="E161" s="82">
        <v>1.6666666666666667</v>
      </c>
      <c r="F161" s="82">
        <v>1.6666666666666667</v>
      </c>
    </row>
    <row r="162" spans="2:9" x14ac:dyDescent="0.15">
      <c r="B162" s="17">
        <v>155</v>
      </c>
      <c r="C162" s="82">
        <v>1.7391304347826086</v>
      </c>
      <c r="D162" s="17"/>
      <c r="E162" s="82">
        <v>1.8181818181818181</v>
      </c>
      <c r="F162" s="82">
        <v>1.6666666666666667</v>
      </c>
    </row>
    <row r="163" spans="2:9" x14ac:dyDescent="0.15">
      <c r="B163" s="17">
        <v>156</v>
      </c>
      <c r="C163" s="82">
        <v>1.6</v>
      </c>
      <c r="D163" s="17"/>
      <c r="E163" s="82">
        <v>1.8181818181818181</v>
      </c>
      <c r="F163" s="82">
        <v>1.8181818181818181</v>
      </c>
    </row>
    <row r="164" spans="2:9" x14ac:dyDescent="0.15">
      <c r="B164" s="17">
        <v>157</v>
      </c>
      <c r="C164" s="82">
        <v>1.9047619047619047</v>
      </c>
      <c r="D164" s="17"/>
      <c r="E164" s="82">
        <v>1.8181818181818181</v>
      </c>
      <c r="F164" s="82">
        <v>1.9047619047619047</v>
      </c>
    </row>
    <row r="165" spans="2:9" x14ac:dyDescent="0.15">
      <c r="B165" s="17">
        <v>158</v>
      </c>
      <c r="C165" s="82">
        <v>1.6666666666666667</v>
      </c>
      <c r="D165" s="17"/>
      <c r="E165" s="82">
        <v>1.9047619047619047</v>
      </c>
      <c r="F165" s="82">
        <v>1.7391304347826086</v>
      </c>
    </row>
    <row r="166" spans="2:9" x14ac:dyDescent="0.15">
      <c r="B166" s="17">
        <v>159</v>
      </c>
      <c r="C166" s="82">
        <v>1.7391304347826086</v>
      </c>
      <c r="D166" s="17"/>
      <c r="E166" s="82">
        <v>1.8181818181818181</v>
      </c>
      <c r="F166" s="82">
        <v>1.7391304347826086</v>
      </c>
    </row>
    <row r="167" spans="2:9" x14ac:dyDescent="0.15">
      <c r="B167" s="17">
        <v>160</v>
      </c>
      <c r="C167" s="82">
        <v>1.6666666666666667</v>
      </c>
      <c r="D167" s="17"/>
      <c r="E167" s="82">
        <v>1.7391304347826086</v>
      </c>
      <c r="F167" s="82">
        <v>1.6666666666666667</v>
      </c>
    </row>
    <row r="168" spans="2:9" x14ac:dyDescent="0.15">
      <c r="B168" s="17">
        <v>161</v>
      </c>
      <c r="C168" s="82">
        <v>2</v>
      </c>
      <c r="D168" s="17"/>
      <c r="E168" s="82">
        <v>1.8181818181818181</v>
      </c>
      <c r="F168" s="82">
        <v>1.7391304347826086</v>
      </c>
    </row>
    <row r="169" spans="2:9" x14ac:dyDescent="0.15">
      <c r="B169" s="17">
        <v>162</v>
      </c>
      <c r="C169" s="82">
        <v>1.9047619047619047</v>
      </c>
      <c r="D169" s="17"/>
      <c r="E169" s="82">
        <v>1.7391304347826086</v>
      </c>
      <c r="F169" s="82">
        <v>1.9047619047619047</v>
      </c>
    </row>
    <row r="170" spans="2:9" x14ac:dyDescent="0.15">
      <c r="B170" s="17">
        <v>163</v>
      </c>
      <c r="C170" s="82">
        <v>1.9047619047619047</v>
      </c>
      <c r="D170" s="17"/>
      <c r="E170" s="82">
        <v>1.6666666666666667</v>
      </c>
      <c r="F170" s="82">
        <v>1.8181818181818181</v>
      </c>
    </row>
    <row r="171" spans="2:9" x14ac:dyDescent="0.15">
      <c r="B171" s="17">
        <v>164</v>
      </c>
      <c r="C171" s="82">
        <v>2</v>
      </c>
      <c r="D171" s="17"/>
      <c r="E171" s="82">
        <v>1.8181818181818181</v>
      </c>
      <c r="F171" s="82">
        <v>2</v>
      </c>
    </row>
    <row r="172" spans="2:9" x14ac:dyDescent="0.15">
      <c r="B172" s="17">
        <v>165</v>
      </c>
      <c r="C172" s="82">
        <v>1.7391304347826086</v>
      </c>
      <c r="D172" s="17"/>
      <c r="E172" s="82">
        <v>1.8181818181818181</v>
      </c>
      <c r="F172" s="82">
        <v>1.8181818181818181</v>
      </c>
    </row>
    <row r="173" spans="2:9" x14ac:dyDescent="0.15">
      <c r="B173" s="17">
        <v>166</v>
      </c>
      <c r="C173" s="17"/>
      <c r="D173" s="17"/>
      <c r="E173" s="82">
        <v>1.6666666666666667</v>
      </c>
      <c r="F173" s="82">
        <v>1.8181818181818181</v>
      </c>
    </row>
    <row r="174" spans="2:9" x14ac:dyDescent="0.15">
      <c r="B174" s="17">
        <v>167</v>
      </c>
      <c r="C174" s="17"/>
      <c r="D174" s="17"/>
      <c r="E174" s="82">
        <v>1.5384615384615385</v>
      </c>
      <c r="F174" s="82">
        <v>1.6666666666666667</v>
      </c>
    </row>
    <row r="175" spans="2:9" x14ac:dyDescent="0.15">
      <c r="B175" s="17">
        <v>168</v>
      </c>
      <c r="C175" s="17"/>
      <c r="D175" s="17"/>
      <c r="E175" s="82">
        <v>1.8181818181818181</v>
      </c>
      <c r="F175" s="82">
        <v>1.8181818181818181</v>
      </c>
      <c r="G175" s="84"/>
      <c r="H175" s="84"/>
      <c r="I175" s="84"/>
    </row>
    <row r="176" spans="2:9" x14ac:dyDescent="0.15">
      <c r="B176" s="17">
        <v>169</v>
      </c>
      <c r="C176" s="17"/>
      <c r="D176" s="17"/>
      <c r="E176" s="82">
        <v>1.6</v>
      </c>
      <c r="F176" s="82">
        <v>1.6666666666666667</v>
      </c>
      <c r="G176" s="84"/>
      <c r="H176" s="84"/>
      <c r="I176" s="84"/>
    </row>
    <row r="177" spans="2:9" x14ac:dyDescent="0.15">
      <c r="B177" s="17">
        <v>170</v>
      </c>
      <c r="C177" s="17"/>
      <c r="D177" s="17"/>
      <c r="E177" s="82">
        <v>1.8181818181818181</v>
      </c>
      <c r="F177" s="82">
        <v>1.8181818181818181</v>
      </c>
      <c r="G177" s="84"/>
      <c r="H177" s="84"/>
      <c r="I177" s="84"/>
    </row>
    <row r="178" spans="2:9" x14ac:dyDescent="0.15">
      <c r="B178" s="17">
        <v>171</v>
      </c>
      <c r="C178" s="17"/>
      <c r="D178" s="17"/>
      <c r="E178" s="82">
        <v>1.6666666666666667</v>
      </c>
      <c r="F178" s="82">
        <v>1.6666666666666667</v>
      </c>
      <c r="H178" s="84"/>
    </row>
    <row r="179" spans="2:9" x14ac:dyDescent="0.15">
      <c r="B179" s="17">
        <v>172</v>
      </c>
      <c r="C179" s="17"/>
      <c r="D179" s="17"/>
      <c r="E179" s="82">
        <v>1.6666666666666667</v>
      </c>
      <c r="F179" s="82">
        <v>1.6666666666666667</v>
      </c>
      <c r="H179" s="84"/>
    </row>
    <row r="180" spans="2:9" x14ac:dyDescent="0.15">
      <c r="B180" s="17">
        <v>173</v>
      </c>
      <c r="C180" s="17"/>
      <c r="D180" s="17"/>
      <c r="E180" s="82">
        <v>1.6</v>
      </c>
      <c r="F180" s="82">
        <v>1.8181818181818181</v>
      </c>
      <c r="H180" s="84"/>
    </row>
    <row r="181" spans="2:9" x14ac:dyDescent="0.15">
      <c r="B181" s="17">
        <v>174</v>
      </c>
      <c r="C181" s="17"/>
      <c r="D181" s="17"/>
      <c r="E181" s="13"/>
      <c r="F181" s="82">
        <v>2</v>
      </c>
      <c r="H181" s="84"/>
    </row>
    <row r="182" spans="2:9" x14ac:dyDescent="0.15">
      <c r="B182" s="17">
        <v>175</v>
      </c>
      <c r="C182" s="17"/>
      <c r="D182" s="17"/>
      <c r="E182" s="13"/>
      <c r="F182" s="82">
        <v>1.8181818181818181</v>
      </c>
      <c r="H182" s="84"/>
    </row>
    <row r="183" spans="2:9" x14ac:dyDescent="0.15">
      <c r="B183" s="17">
        <v>176</v>
      </c>
      <c r="C183" s="17"/>
      <c r="D183" s="17"/>
      <c r="E183" s="13"/>
      <c r="F183" s="82">
        <v>1.8181818181818181</v>
      </c>
      <c r="H183" s="84"/>
      <c r="I183" s="84"/>
    </row>
    <row r="184" spans="2:9" x14ac:dyDescent="0.15">
      <c r="B184" s="17">
        <v>177</v>
      </c>
      <c r="C184" s="17"/>
      <c r="D184" s="17"/>
      <c r="E184" s="13"/>
      <c r="F184" s="82">
        <v>1.8181818181818181</v>
      </c>
      <c r="G184" s="84"/>
      <c r="H184" s="84"/>
      <c r="I184" s="84"/>
    </row>
    <row r="185" spans="2:9" x14ac:dyDescent="0.15">
      <c r="B185" s="17">
        <v>178</v>
      </c>
      <c r="C185" s="17"/>
      <c r="D185" s="17"/>
      <c r="E185" s="13"/>
      <c r="F185" s="82">
        <v>2</v>
      </c>
      <c r="G185" s="84"/>
      <c r="H185" s="84"/>
      <c r="I185" s="84"/>
    </row>
    <row r="186" spans="2:9" x14ac:dyDescent="0.15">
      <c r="B186" s="17">
        <v>179</v>
      </c>
      <c r="C186" s="17"/>
      <c r="D186" s="17"/>
      <c r="E186" s="13"/>
      <c r="F186" s="82">
        <v>1.6666666666666667</v>
      </c>
      <c r="G186" s="84"/>
      <c r="H186" s="84"/>
      <c r="I186" s="84"/>
    </row>
    <row r="187" spans="2:9" x14ac:dyDescent="0.15">
      <c r="B187" s="17">
        <v>180</v>
      </c>
      <c r="C187" s="17"/>
      <c r="D187" s="17"/>
      <c r="E187" s="13"/>
      <c r="F187" s="82">
        <v>2</v>
      </c>
      <c r="G187" s="84"/>
      <c r="H187" s="84"/>
      <c r="I187" s="84"/>
    </row>
    <row r="188" spans="2:9" x14ac:dyDescent="0.15">
      <c r="B188" s="17">
        <v>181</v>
      </c>
      <c r="C188" s="17"/>
      <c r="D188" s="17"/>
      <c r="E188" s="17"/>
      <c r="F188" s="82">
        <v>1.8181818181818181</v>
      </c>
    </row>
    <row r="189" spans="2:9" x14ac:dyDescent="0.15">
      <c r="B189" s="17">
        <v>182</v>
      </c>
      <c r="C189" s="17"/>
      <c r="D189" s="17"/>
      <c r="E189" s="17"/>
      <c r="F189" s="82">
        <v>1.8181818181818181</v>
      </c>
    </row>
    <row r="190" spans="2:9" x14ac:dyDescent="0.15">
      <c r="B190" s="17">
        <v>183</v>
      </c>
      <c r="C190" s="17"/>
      <c r="D190" s="17"/>
      <c r="E190" s="17"/>
      <c r="F190" s="82">
        <v>1.8181818181818181</v>
      </c>
    </row>
    <row r="191" spans="2:9" x14ac:dyDescent="0.15">
      <c r="B191" s="17">
        <v>184</v>
      </c>
      <c r="C191" s="17"/>
      <c r="D191" s="17"/>
      <c r="E191" s="17"/>
      <c r="F191" s="82">
        <v>2</v>
      </c>
    </row>
    <row r="192" spans="2:9" x14ac:dyDescent="0.15">
      <c r="B192" s="17">
        <v>185</v>
      </c>
      <c r="C192" s="17"/>
      <c r="D192" s="17"/>
      <c r="E192" s="17"/>
      <c r="F192" s="82">
        <v>1.6666666666666667</v>
      </c>
    </row>
    <row r="193" spans="2:9" x14ac:dyDescent="0.15">
      <c r="B193" s="17">
        <v>186</v>
      </c>
      <c r="C193" s="17"/>
      <c r="D193" s="17"/>
      <c r="E193" s="13"/>
      <c r="F193" s="82">
        <v>1.6666666666666667</v>
      </c>
    </row>
    <row r="194" spans="2:9" x14ac:dyDescent="0.15">
      <c r="B194" s="17">
        <v>187</v>
      </c>
      <c r="C194" s="17"/>
      <c r="D194" s="17"/>
      <c r="E194" s="13"/>
      <c r="F194" s="82">
        <v>1.6666666666666667</v>
      </c>
      <c r="G194" s="84"/>
      <c r="H194" s="84"/>
      <c r="I194" s="84"/>
    </row>
    <row r="195" spans="2:9" x14ac:dyDescent="0.15">
      <c r="B195" s="17">
        <v>188</v>
      </c>
      <c r="C195" s="17"/>
      <c r="D195" s="17"/>
      <c r="E195" s="13"/>
      <c r="F195" s="82">
        <v>1.8181818181818181</v>
      </c>
      <c r="G195" s="84"/>
      <c r="H195" s="84"/>
      <c r="I195" s="84"/>
    </row>
    <row r="196" spans="2:9" x14ac:dyDescent="0.15">
      <c r="B196" s="17">
        <v>189</v>
      </c>
      <c r="C196" s="17"/>
      <c r="D196" s="17"/>
      <c r="E196" s="13"/>
      <c r="F196" s="82">
        <v>1.9047619047619047</v>
      </c>
      <c r="G196" s="84"/>
      <c r="H196" s="84"/>
      <c r="I196" s="84"/>
    </row>
    <row r="197" spans="2:9" x14ac:dyDescent="0.15">
      <c r="B197" s="17">
        <v>190</v>
      </c>
      <c r="C197" s="17"/>
      <c r="D197" s="17"/>
      <c r="E197" s="17"/>
      <c r="F197" s="82">
        <v>1.8181818181818181</v>
      </c>
      <c r="G197" s="84"/>
      <c r="H197" s="84"/>
      <c r="I197" s="84"/>
    </row>
    <row r="198" spans="2:9" x14ac:dyDescent="0.15">
      <c r="B198" s="17">
        <v>191</v>
      </c>
      <c r="C198" s="17"/>
      <c r="D198" s="17"/>
      <c r="E198" s="17"/>
      <c r="F198" s="82">
        <v>1.8181818181818181</v>
      </c>
      <c r="G198" s="84"/>
      <c r="H198" s="84"/>
    </row>
    <row r="199" spans="2:9" x14ac:dyDescent="0.15">
      <c r="B199" s="17">
        <v>192</v>
      </c>
      <c r="C199" s="17"/>
      <c r="D199" s="17"/>
      <c r="E199" s="17"/>
      <c r="F199" s="82">
        <v>2</v>
      </c>
      <c r="G199" s="84"/>
      <c r="H199" s="84"/>
    </row>
    <row r="200" spans="2:9" x14ac:dyDescent="0.15">
      <c r="B200" s="17">
        <v>193</v>
      </c>
      <c r="C200" s="17"/>
      <c r="D200" s="17"/>
      <c r="E200" s="17"/>
      <c r="F200" s="82">
        <v>1.6666666666666667</v>
      </c>
      <c r="G200" s="84"/>
      <c r="H200" s="84"/>
      <c r="I200" s="84"/>
    </row>
    <row r="201" spans="2:9" x14ac:dyDescent="0.15">
      <c r="B201" s="17">
        <v>194</v>
      </c>
      <c r="C201" s="17"/>
      <c r="D201" s="17"/>
      <c r="E201" s="17"/>
      <c r="F201" s="82">
        <v>1.8181818181818181</v>
      </c>
    </row>
    <row r="202" spans="2:9" x14ac:dyDescent="0.15">
      <c r="B202" s="17">
        <v>195</v>
      </c>
      <c r="C202" s="17"/>
      <c r="D202" s="17"/>
      <c r="E202" s="17"/>
      <c r="F202" s="82">
        <v>1.6666666666666667</v>
      </c>
    </row>
    <row r="203" spans="2:9" x14ac:dyDescent="0.15">
      <c r="B203" s="17">
        <v>196</v>
      </c>
      <c r="C203" s="17"/>
      <c r="D203" s="17"/>
      <c r="E203" s="17"/>
      <c r="F203" s="82">
        <v>2</v>
      </c>
    </row>
    <row r="204" spans="2:9" x14ac:dyDescent="0.15">
      <c r="B204" s="17">
        <v>197</v>
      </c>
      <c r="C204" s="17"/>
      <c r="D204" s="17"/>
      <c r="E204" s="17"/>
      <c r="F204" s="82">
        <v>2</v>
      </c>
    </row>
    <row r="205" spans="2:9" x14ac:dyDescent="0.15">
      <c r="B205" s="17">
        <v>198</v>
      </c>
      <c r="C205" s="17"/>
      <c r="D205" s="17"/>
      <c r="E205" s="17"/>
      <c r="F205" s="82">
        <v>1.5384615384615385</v>
      </c>
    </row>
    <row r="206" spans="2:9" x14ac:dyDescent="0.15">
      <c r="B206" s="17">
        <v>199</v>
      </c>
      <c r="C206" s="17"/>
      <c r="D206" s="17"/>
      <c r="E206" s="17"/>
      <c r="F206" s="82">
        <v>1.6666666666666667</v>
      </c>
    </row>
    <row r="207" spans="2:9" x14ac:dyDescent="0.15">
      <c r="B207" s="17">
        <v>200</v>
      </c>
      <c r="C207" s="17"/>
      <c r="D207" s="17"/>
      <c r="E207" s="17"/>
      <c r="F207" s="82">
        <v>1.8181818181818181</v>
      </c>
    </row>
    <row r="208" spans="2:9" x14ac:dyDescent="0.15">
      <c r="B208" s="17">
        <v>201</v>
      </c>
      <c r="C208" s="17"/>
      <c r="D208" s="17"/>
      <c r="E208" s="17"/>
      <c r="F208" s="82">
        <v>1.6666666666666667</v>
      </c>
    </row>
    <row r="209" spans="2:6" x14ac:dyDescent="0.15">
      <c r="B209" s="17">
        <v>202</v>
      </c>
      <c r="C209" s="17"/>
      <c r="D209" s="17"/>
      <c r="E209" s="17"/>
      <c r="F209" s="82">
        <v>1.5384615384615385</v>
      </c>
    </row>
    <row r="210" spans="2:6" x14ac:dyDescent="0.15">
      <c r="B210" s="17">
        <v>203</v>
      </c>
      <c r="C210" s="17"/>
      <c r="D210" s="17"/>
      <c r="E210" s="17"/>
      <c r="F210" s="82">
        <v>1.6666666666666667</v>
      </c>
    </row>
    <row r="211" spans="2:6" x14ac:dyDescent="0.15">
      <c r="B211" s="17">
        <v>204</v>
      </c>
      <c r="C211" s="17"/>
      <c r="D211" s="17"/>
      <c r="E211" s="17"/>
      <c r="F211" s="82">
        <v>1.8181818181818181</v>
      </c>
    </row>
    <row r="212" spans="2:6" x14ac:dyDescent="0.15">
      <c r="B212" s="17">
        <v>205</v>
      </c>
      <c r="C212" s="17"/>
      <c r="D212" s="17"/>
      <c r="E212" s="17"/>
      <c r="F212" s="82">
        <v>1.6666666666666667</v>
      </c>
    </row>
    <row r="213" spans="2:6" x14ac:dyDescent="0.15">
      <c r="B213" s="17">
        <v>206</v>
      </c>
      <c r="C213" s="17"/>
      <c r="D213" s="17"/>
      <c r="E213" s="17"/>
      <c r="F213" s="82">
        <v>1.6666666666666667</v>
      </c>
    </row>
    <row r="214" spans="2:6" x14ac:dyDescent="0.15">
      <c r="B214" s="17">
        <v>207</v>
      </c>
      <c r="C214" s="17"/>
      <c r="D214" s="17"/>
      <c r="E214" s="17"/>
      <c r="F214" s="82">
        <v>1.6666666666666667</v>
      </c>
    </row>
    <row r="215" spans="2:6" x14ac:dyDescent="0.15">
      <c r="B215" s="17">
        <v>208</v>
      </c>
      <c r="C215" s="17"/>
      <c r="D215" s="17"/>
      <c r="E215" s="17"/>
      <c r="F215" s="82">
        <v>1.6666666666666667</v>
      </c>
    </row>
    <row r="216" spans="2:6" x14ac:dyDescent="0.15">
      <c r="B216" s="17">
        <v>209</v>
      </c>
      <c r="C216" s="17"/>
      <c r="D216" s="17"/>
      <c r="E216" s="17"/>
      <c r="F216" s="82">
        <v>1.6666666666666667</v>
      </c>
    </row>
    <row r="217" spans="2:6" x14ac:dyDescent="0.15">
      <c r="B217" s="17">
        <v>210</v>
      </c>
      <c r="C217" s="17"/>
      <c r="D217" s="17"/>
      <c r="E217" s="17"/>
      <c r="F217" s="82">
        <v>2</v>
      </c>
    </row>
    <row r="218" spans="2:6" x14ac:dyDescent="0.15">
      <c r="B218" s="17">
        <v>211</v>
      </c>
      <c r="C218" s="17"/>
      <c r="D218" s="17"/>
      <c r="E218" s="17"/>
      <c r="F218" s="82">
        <v>1.8181818181818181</v>
      </c>
    </row>
    <row r="219" spans="2:6" x14ac:dyDescent="0.15">
      <c r="B219" s="17">
        <v>212</v>
      </c>
      <c r="C219" s="17"/>
      <c r="D219" s="17"/>
      <c r="E219" s="17"/>
      <c r="F219" s="82">
        <v>1.8181818181818181</v>
      </c>
    </row>
    <row r="220" spans="2:6" x14ac:dyDescent="0.15">
      <c r="B220" s="17">
        <v>213</v>
      </c>
      <c r="C220" s="17"/>
      <c r="D220" s="17"/>
      <c r="E220" s="17"/>
      <c r="F220" s="82">
        <v>1.8181818181818181</v>
      </c>
    </row>
    <row r="221" spans="2:6" x14ac:dyDescent="0.15">
      <c r="B221" s="17">
        <v>214</v>
      </c>
      <c r="C221" s="17"/>
      <c r="D221" s="17"/>
      <c r="E221" s="17"/>
      <c r="F221" s="82">
        <v>1.8181818181818181</v>
      </c>
    </row>
    <row r="222" spans="2:6" x14ac:dyDescent="0.15">
      <c r="B222" s="17">
        <v>215</v>
      </c>
      <c r="C222" s="17"/>
      <c r="D222" s="17"/>
      <c r="E222" s="17"/>
      <c r="F222" s="82">
        <v>1.6666666666666667</v>
      </c>
    </row>
    <row r="223" spans="2:6" x14ac:dyDescent="0.15">
      <c r="B223" s="17">
        <v>216</v>
      </c>
      <c r="C223" s="17"/>
      <c r="D223" s="17"/>
      <c r="E223" s="17"/>
      <c r="F223" s="82">
        <v>1.6666666666666667</v>
      </c>
    </row>
    <row r="224" spans="2:6" x14ac:dyDescent="0.15">
      <c r="B224" s="17">
        <v>217</v>
      </c>
      <c r="C224" s="17"/>
      <c r="D224" s="17"/>
      <c r="E224" s="17"/>
      <c r="F224" s="82">
        <v>1.6666666666666667</v>
      </c>
    </row>
    <row r="225" spans="1:6" x14ac:dyDescent="0.15">
      <c r="B225" s="17">
        <v>218</v>
      </c>
      <c r="C225" s="17"/>
      <c r="D225" s="17"/>
      <c r="E225" s="17"/>
      <c r="F225" s="82">
        <v>1.8181818181818181</v>
      </c>
    </row>
    <row r="226" spans="1:6" x14ac:dyDescent="0.15">
      <c r="B226" s="17">
        <v>219</v>
      </c>
      <c r="C226" s="17"/>
      <c r="D226" s="17"/>
      <c r="E226" s="17"/>
      <c r="F226" s="82">
        <v>2.2222222222222223</v>
      </c>
    </row>
    <row r="227" spans="1:6" x14ac:dyDescent="0.15">
      <c r="B227" s="17">
        <v>220</v>
      </c>
      <c r="C227" s="17"/>
      <c r="D227" s="17"/>
      <c r="E227" s="17"/>
      <c r="F227" s="82">
        <v>1.8181818181818181</v>
      </c>
    </row>
    <row r="228" spans="1:6" x14ac:dyDescent="0.15">
      <c r="B228" s="17">
        <v>221</v>
      </c>
      <c r="C228" s="17"/>
      <c r="D228" s="17"/>
      <c r="E228" s="17"/>
      <c r="F228" s="82">
        <v>1.6666666666666667</v>
      </c>
    </row>
    <row r="229" spans="1:6" x14ac:dyDescent="0.15">
      <c r="B229" s="17">
        <v>222</v>
      </c>
      <c r="C229" s="17"/>
      <c r="D229" s="17"/>
      <c r="E229" s="17"/>
      <c r="F229" s="82">
        <v>1.8181818181818181</v>
      </c>
    </row>
    <row r="231" spans="1:6" x14ac:dyDescent="0.15">
      <c r="B231" s="17" t="s">
        <v>51</v>
      </c>
      <c r="C231" s="82">
        <f>AVERAGE(C8:C172)</f>
        <v>1.8597134856673105</v>
      </c>
      <c r="D231" s="82">
        <f>AVERAGE(D8:D67)</f>
        <v>1.7400457913977292</v>
      </c>
      <c r="E231" s="82">
        <f>AVERAGE(E8:E180)</f>
        <v>1.7047880419079195</v>
      </c>
      <c r="F231" s="82">
        <f>AVERAGE(F8:F229)</f>
        <v>1.7635055358167486</v>
      </c>
    </row>
    <row r="232" spans="1:6" x14ac:dyDescent="0.15">
      <c r="B232" s="17" t="s">
        <v>13</v>
      </c>
      <c r="C232" s="82">
        <f>STDEV(C8:C172)</f>
        <v>0.15005507812381946</v>
      </c>
      <c r="D232" s="82">
        <f>STDEV(D8:D67)</f>
        <v>0.13928108775515105</v>
      </c>
      <c r="E232" s="82">
        <f>STDEV(E8:E180)</f>
        <v>0.13481446970729472</v>
      </c>
      <c r="F232" s="82">
        <f>STDEV(F8:F229)</f>
        <v>0.12109285921327972</v>
      </c>
    </row>
    <row r="233" spans="1:6" x14ac:dyDescent="0.15">
      <c r="B233" s="17" t="s">
        <v>14</v>
      </c>
      <c r="C233" s="85">
        <f>C232/(165^0.5)</f>
        <v>1.168177198854683E-2</v>
      </c>
      <c r="D233" s="85">
        <f>D232/(60^0.5)</f>
        <v>1.7981111110578461E-2</v>
      </c>
      <c r="E233" s="85">
        <f>E232/(173^0.5)</f>
        <v>1.0249754330189736E-2</v>
      </c>
      <c r="F233" s="85">
        <f>F232/(222^0.5)</f>
        <v>8.127220570417204E-3</v>
      </c>
    </row>
    <row r="235" spans="1:6" x14ac:dyDescent="0.15">
      <c r="C235" s="86"/>
      <c r="D235" s="86"/>
      <c r="E235" s="86"/>
      <c r="F235" s="86"/>
    </row>
    <row r="236" spans="1:6" ht="18" x14ac:dyDescent="0.2">
      <c r="A236" s="19" t="s">
        <v>52</v>
      </c>
      <c r="B236" s="20"/>
      <c r="C236" s="20"/>
      <c r="D236" s="20"/>
      <c r="E236" s="20"/>
    </row>
    <row r="238" spans="1:6" x14ac:dyDescent="0.15">
      <c r="B238" s="87" t="s">
        <v>243</v>
      </c>
    </row>
    <row r="239" spans="1:6" x14ac:dyDescent="0.15">
      <c r="C239" s="92" t="s">
        <v>203</v>
      </c>
      <c r="D239" s="92" t="s">
        <v>2</v>
      </c>
      <c r="E239" s="92" t="s">
        <v>3</v>
      </c>
      <c r="F239" s="92" t="s">
        <v>4</v>
      </c>
    </row>
    <row r="240" spans="1:6" x14ac:dyDescent="0.15">
      <c r="B240" s="2" t="s">
        <v>244</v>
      </c>
      <c r="C240" s="46">
        <v>0.95309999999999995</v>
      </c>
      <c r="D240" s="46">
        <v>0.9607</v>
      </c>
      <c r="E240" s="46">
        <v>0.93830000000000002</v>
      </c>
      <c r="F240" s="46">
        <v>0.90180000000000005</v>
      </c>
    </row>
    <row r="241" spans="2:12" x14ac:dyDescent="0.15">
      <c r="B241" s="2" t="s">
        <v>36</v>
      </c>
      <c r="C241" s="46" t="s">
        <v>176</v>
      </c>
      <c r="D241" s="46">
        <v>5.0700000000000002E-2</v>
      </c>
      <c r="E241" s="46" t="s">
        <v>176</v>
      </c>
      <c r="F241" s="46" t="s">
        <v>176</v>
      </c>
    </row>
    <row r="242" spans="2:12" x14ac:dyDescent="0.15">
      <c r="B242" s="2" t="s">
        <v>245</v>
      </c>
      <c r="C242" s="46" t="s">
        <v>49</v>
      </c>
      <c r="D242" s="46" t="s">
        <v>41</v>
      </c>
      <c r="E242" s="46" t="s">
        <v>49</v>
      </c>
      <c r="F242" s="46" t="s">
        <v>49</v>
      </c>
    </row>
    <row r="243" spans="2:12" x14ac:dyDescent="0.15">
      <c r="B243" s="2" t="s">
        <v>37</v>
      </c>
      <c r="C243" s="46" t="s">
        <v>10</v>
      </c>
      <c r="D243" s="46" t="s">
        <v>9</v>
      </c>
      <c r="E243" s="46" t="s">
        <v>10</v>
      </c>
      <c r="F243" s="46" t="s">
        <v>10</v>
      </c>
    </row>
    <row r="245" spans="2:12" x14ac:dyDescent="0.15">
      <c r="B245" s="3" t="s">
        <v>246</v>
      </c>
      <c r="C245" s="1"/>
    </row>
    <row r="246" spans="2:12" x14ac:dyDescent="0.15">
      <c r="B246" s="2" t="s">
        <v>36</v>
      </c>
      <c r="F246" s="46" t="s">
        <v>176</v>
      </c>
      <c r="G246" s="36"/>
    </row>
    <row r="247" spans="2:12" x14ac:dyDescent="0.15">
      <c r="B247" s="2" t="s">
        <v>247</v>
      </c>
      <c r="F247" s="46" t="s">
        <v>248</v>
      </c>
    </row>
    <row r="248" spans="2:12" x14ac:dyDescent="0.15">
      <c r="B248" s="2" t="s">
        <v>37</v>
      </c>
      <c r="F248" s="46" t="s">
        <v>10</v>
      </c>
    </row>
    <row r="249" spans="2:12" x14ac:dyDescent="0.15">
      <c r="B249" s="2" t="s">
        <v>249</v>
      </c>
      <c r="F249" s="46" t="s">
        <v>41</v>
      </c>
    </row>
    <row r="250" spans="2:12" x14ac:dyDescent="0.15">
      <c r="B250" s="2" t="s">
        <v>250</v>
      </c>
      <c r="F250" s="1">
        <v>4</v>
      </c>
    </row>
    <row r="251" spans="2:12" x14ac:dyDescent="0.15">
      <c r="B251" s="2" t="s">
        <v>251</v>
      </c>
      <c r="F251" s="1">
        <v>90.85</v>
      </c>
    </row>
    <row r="252" spans="2:12" ht="29" x14ac:dyDescent="0.35">
      <c r="G252" s="88"/>
      <c r="H252" s="88"/>
      <c r="I252" s="88"/>
      <c r="J252" s="88"/>
      <c r="K252" s="88"/>
      <c r="L252" s="64"/>
    </row>
    <row r="253" spans="2:12" ht="15" x14ac:dyDescent="0.2">
      <c r="B253" s="3" t="s">
        <v>252</v>
      </c>
      <c r="C253" s="16" t="s">
        <v>253</v>
      </c>
      <c r="D253" s="16" t="s">
        <v>47</v>
      </c>
      <c r="E253" s="16" t="s">
        <v>48</v>
      </c>
      <c r="F253" s="16" t="s">
        <v>5</v>
      </c>
      <c r="G253" s="89"/>
      <c r="H253" s="89"/>
      <c r="I253" s="89"/>
      <c r="J253" s="89"/>
      <c r="K253" s="89"/>
      <c r="L253" s="64"/>
    </row>
    <row r="254" spans="2:12" ht="15" x14ac:dyDescent="0.2">
      <c r="B254" s="2" t="s">
        <v>6</v>
      </c>
      <c r="C254" s="1">
        <v>134.30000000000001</v>
      </c>
      <c r="D254" s="1" t="s">
        <v>41</v>
      </c>
      <c r="E254" s="1" t="s">
        <v>10</v>
      </c>
      <c r="F254" s="46" t="s">
        <v>176</v>
      </c>
      <c r="G254" s="89"/>
      <c r="H254" s="89"/>
      <c r="I254" s="89"/>
      <c r="J254" s="89"/>
      <c r="K254" s="89"/>
      <c r="L254" s="64"/>
    </row>
    <row r="255" spans="2:12" ht="15" x14ac:dyDescent="0.2">
      <c r="B255" s="2" t="s">
        <v>7</v>
      </c>
      <c r="C255" s="1">
        <v>179.5</v>
      </c>
      <c r="D255" s="1" t="s">
        <v>41</v>
      </c>
      <c r="E255" s="1" t="s">
        <v>10</v>
      </c>
      <c r="F255" s="46" t="s">
        <v>176</v>
      </c>
      <c r="G255" s="89"/>
      <c r="H255" s="89"/>
      <c r="I255" s="89"/>
      <c r="J255" s="89"/>
      <c r="K255" s="89"/>
      <c r="L255" s="64"/>
    </row>
    <row r="256" spans="2:12" ht="15" x14ac:dyDescent="0.2">
      <c r="B256" s="2" t="s">
        <v>8</v>
      </c>
      <c r="C256" s="1">
        <v>109.7</v>
      </c>
      <c r="D256" s="1" t="s">
        <v>41</v>
      </c>
      <c r="E256" s="1" t="s">
        <v>10</v>
      </c>
      <c r="F256" s="46" t="s">
        <v>176</v>
      </c>
      <c r="G256" s="89"/>
      <c r="H256" s="89"/>
      <c r="I256" s="89"/>
      <c r="J256" s="89"/>
      <c r="K256" s="89"/>
      <c r="L256" s="64"/>
    </row>
    <row r="257" spans="4:12" ht="15" x14ac:dyDescent="0.2">
      <c r="G257" s="89"/>
      <c r="H257" s="89"/>
      <c r="I257" s="89"/>
      <c r="J257" s="89"/>
      <c r="K257" s="89"/>
      <c r="L257" s="64"/>
    </row>
    <row r="258" spans="4:12" ht="16" x14ac:dyDescent="0.2">
      <c r="D258" s="90"/>
      <c r="E258" s="90"/>
      <c r="F258" s="90"/>
      <c r="G258" s="91"/>
      <c r="H258" s="91"/>
      <c r="I258" s="91"/>
      <c r="J258" s="91"/>
      <c r="K258" s="91"/>
      <c r="L258" s="64"/>
    </row>
    <row r="259" spans="4:12" x14ac:dyDescent="0.15">
      <c r="G259" s="64"/>
      <c r="H259" s="64"/>
      <c r="I259" s="64"/>
      <c r="J259" s="64"/>
      <c r="K259" s="64"/>
      <c r="L259" s="64"/>
    </row>
    <row r="260" spans="4:12" x14ac:dyDescent="0.15">
      <c r="G260" s="64"/>
      <c r="H260" s="64"/>
      <c r="I260" s="64"/>
      <c r="J260" s="64"/>
      <c r="K260" s="64"/>
      <c r="L260" s="64"/>
    </row>
    <row r="261" spans="4:12" x14ac:dyDescent="0.15">
      <c r="G261" s="64"/>
      <c r="H261" s="64"/>
      <c r="I261" s="64"/>
      <c r="J261" s="64"/>
      <c r="K261" s="64"/>
      <c r="L261" s="64"/>
    </row>
  </sheetData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2:N217"/>
  <sheetViews>
    <sheetView workbookViewId="0">
      <selection activeCell="G6" sqref="G6"/>
    </sheetView>
  </sheetViews>
  <sheetFormatPr baseColWidth="10" defaultRowHeight="16" x14ac:dyDescent="0.2"/>
  <cols>
    <col min="2" max="2" width="14.83203125" customWidth="1"/>
    <col min="4" max="4" width="15.5" customWidth="1"/>
    <col min="7" max="7" width="15.33203125" customWidth="1"/>
    <col min="9" max="9" width="14.6640625" customWidth="1"/>
    <col min="11" max="11" width="15.1640625" customWidth="1"/>
    <col min="14" max="14" width="15.33203125" customWidth="1"/>
  </cols>
  <sheetData>
    <row r="2" spans="1:13" ht="18" x14ac:dyDescent="0.2">
      <c r="A2" s="53" t="s">
        <v>1180</v>
      </c>
      <c r="B2" s="8"/>
      <c r="C2" s="8"/>
      <c r="D2" s="9"/>
      <c r="E2" s="9"/>
      <c r="F2" s="9"/>
    </row>
    <row r="3" spans="1:13" ht="18" x14ac:dyDescent="0.2">
      <c r="A3" s="80"/>
      <c r="B3" s="42"/>
      <c r="C3" s="42"/>
      <c r="D3" s="9"/>
      <c r="E3" s="9"/>
      <c r="F3" s="9"/>
    </row>
    <row r="4" spans="1:13" ht="18" x14ac:dyDescent="0.2">
      <c r="A4" s="53" t="s">
        <v>1066</v>
      </c>
      <c r="B4" s="8"/>
      <c r="C4" s="8"/>
      <c r="D4" s="8"/>
      <c r="E4" s="8"/>
      <c r="F4" s="9"/>
    </row>
    <row r="5" spans="1:13" x14ac:dyDescent="0.2">
      <c r="A5" s="9"/>
      <c r="B5" s="9"/>
      <c r="C5" s="9"/>
      <c r="D5" s="9"/>
      <c r="E5" s="9"/>
      <c r="F5" s="9"/>
    </row>
    <row r="6" spans="1:13" ht="18" x14ac:dyDescent="0.2">
      <c r="A6" s="14" t="s">
        <v>254</v>
      </c>
      <c r="B6" s="9"/>
      <c r="C6" s="9"/>
      <c r="D6" s="9"/>
      <c r="E6" s="9"/>
      <c r="F6" s="9"/>
    </row>
    <row r="7" spans="1:13" x14ac:dyDescent="0.2">
      <c r="A7" s="9"/>
      <c r="B7" s="9"/>
      <c r="C7" s="9"/>
      <c r="D7" s="9"/>
      <c r="E7" s="9"/>
      <c r="F7" s="9"/>
    </row>
    <row r="8" spans="1:13" x14ac:dyDescent="0.2">
      <c r="A8" s="9"/>
      <c r="B8" s="9"/>
      <c r="C8" s="9"/>
      <c r="D8" s="9"/>
      <c r="E8" s="9"/>
      <c r="F8" s="9"/>
    </row>
    <row r="9" spans="1:13" x14ac:dyDescent="0.2">
      <c r="A9" s="9"/>
      <c r="B9" s="59" t="s">
        <v>181</v>
      </c>
      <c r="C9" s="18" t="s">
        <v>1</v>
      </c>
      <c r="D9" s="22" t="s">
        <v>2</v>
      </c>
      <c r="E9" s="22" t="s">
        <v>3</v>
      </c>
      <c r="F9" s="22" t="s">
        <v>4</v>
      </c>
      <c r="I9" s="59" t="s">
        <v>185</v>
      </c>
      <c r="J9" s="18" t="s">
        <v>1</v>
      </c>
      <c r="K9" s="22" t="s">
        <v>2</v>
      </c>
      <c r="L9" s="22" t="s">
        <v>3</v>
      </c>
      <c r="M9" s="22" t="s">
        <v>4</v>
      </c>
    </row>
    <row r="10" spans="1:13" x14ac:dyDescent="0.2">
      <c r="A10" s="9"/>
      <c r="B10" s="11" t="s">
        <v>32</v>
      </c>
      <c r="C10" s="4">
        <v>1.0652227183458625</v>
      </c>
      <c r="D10" s="54">
        <v>0.9582706602020935</v>
      </c>
      <c r="E10" s="4">
        <v>1.1104966977615018</v>
      </c>
      <c r="F10" s="4">
        <v>4.8421953803237966E-2</v>
      </c>
      <c r="I10" s="11" t="s">
        <v>32</v>
      </c>
      <c r="J10" s="4">
        <v>1.8690119024078142</v>
      </c>
      <c r="K10" s="4">
        <v>0.1340251594518391</v>
      </c>
      <c r="L10" s="4">
        <v>0.22008393679618285</v>
      </c>
      <c r="M10" s="4">
        <v>0.11106881855027585</v>
      </c>
    </row>
    <row r="11" spans="1:13" x14ac:dyDescent="0.2">
      <c r="A11" s="9"/>
      <c r="B11" s="11" t="s">
        <v>33</v>
      </c>
      <c r="C11" s="4">
        <v>1.5935067196351449</v>
      </c>
      <c r="D11" s="54">
        <v>0.24646507017523533</v>
      </c>
      <c r="E11" s="4">
        <v>1.1875638664759403</v>
      </c>
      <c r="F11" s="4">
        <v>1.4194235057784219</v>
      </c>
      <c r="I11" s="11" t="s">
        <v>33</v>
      </c>
      <c r="J11" s="4">
        <v>0.47252932049677349</v>
      </c>
      <c r="K11" s="4">
        <v>9.5204643849729834E-2</v>
      </c>
      <c r="L11" s="4">
        <v>8.9748134184088987E-2</v>
      </c>
      <c r="M11" s="4">
        <v>8.8351831479465334E-3</v>
      </c>
    </row>
    <row r="12" spans="1:13" x14ac:dyDescent="0.2">
      <c r="A12" s="9"/>
      <c r="B12" s="11" t="s">
        <v>34</v>
      </c>
      <c r="C12" s="4">
        <v>0.7591227550967542</v>
      </c>
      <c r="D12" s="54">
        <v>0.20191991354129826</v>
      </c>
      <c r="E12" s="4">
        <v>1.073003738609404</v>
      </c>
      <c r="F12" s="4">
        <v>0.29290507652341219</v>
      </c>
      <c r="I12" s="11" t="s">
        <v>34</v>
      </c>
      <c r="J12" s="4">
        <v>1.0209949685220145</v>
      </c>
      <c r="K12" s="4">
        <v>0.29110787176599978</v>
      </c>
      <c r="L12" s="4">
        <v>0.1103169022893021</v>
      </c>
      <c r="M12" s="4">
        <v>4.6591989850831149E-2</v>
      </c>
    </row>
    <row r="13" spans="1:13" x14ac:dyDescent="0.2">
      <c r="A13" s="9"/>
      <c r="B13" s="11" t="s">
        <v>35</v>
      </c>
      <c r="C13" s="17">
        <v>0.69037642382366882</v>
      </c>
      <c r="D13" s="55">
        <v>0.21814436356386244</v>
      </c>
      <c r="E13" s="17">
        <v>1.1561712498039161</v>
      </c>
      <c r="F13" s="17">
        <v>1.4836544315815932</v>
      </c>
      <c r="I13" s="11" t="s">
        <v>35</v>
      </c>
      <c r="J13" s="17">
        <v>0.52579624958632654</v>
      </c>
      <c r="K13" s="17">
        <v>0.20324978856391043</v>
      </c>
      <c r="L13" s="17">
        <v>7.6846627466035031E-2</v>
      </c>
      <c r="M13" s="17">
        <v>0.28447539025415158</v>
      </c>
    </row>
    <row r="14" spans="1:13" x14ac:dyDescent="0.2">
      <c r="A14" s="9"/>
      <c r="B14" s="11" t="s">
        <v>81</v>
      </c>
      <c r="C14" s="17">
        <v>0.86507978573672462</v>
      </c>
      <c r="D14" s="55"/>
      <c r="E14" s="17"/>
      <c r="F14" s="17"/>
      <c r="I14" s="11" t="s">
        <v>81</v>
      </c>
      <c r="J14" s="17">
        <v>0.6721596089008337</v>
      </c>
      <c r="K14" s="17"/>
      <c r="L14" s="17"/>
      <c r="M14" s="17"/>
    </row>
    <row r="15" spans="1:13" x14ac:dyDescent="0.2">
      <c r="A15" s="9"/>
      <c r="B15" s="11" t="s">
        <v>169</v>
      </c>
      <c r="C15" s="17">
        <v>0.68537007319323662</v>
      </c>
      <c r="D15" s="55"/>
      <c r="E15" s="17"/>
      <c r="F15" s="17"/>
      <c r="I15" s="11" t="s">
        <v>169</v>
      </c>
      <c r="J15" s="17">
        <v>1.4395079500862369</v>
      </c>
      <c r="K15" s="17"/>
      <c r="L15" s="17"/>
      <c r="M15" s="17"/>
    </row>
    <row r="16" spans="1:13" x14ac:dyDescent="0.2">
      <c r="A16" s="9"/>
      <c r="B16" s="11" t="s">
        <v>170</v>
      </c>
      <c r="C16" s="17">
        <v>1.3413215241686087</v>
      </c>
      <c r="D16" s="55"/>
      <c r="E16" s="17"/>
      <c r="F16" s="17"/>
    </row>
    <row r="17" spans="1:13" x14ac:dyDescent="0.2">
      <c r="A17" s="9"/>
    </row>
    <row r="18" spans="1:13" x14ac:dyDescent="0.2">
      <c r="A18" s="9"/>
    </row>
    <row r="19" spans="1:13" x14ac:dyDescent="0.2">
      <c r="A19" s="9"/>
      <c r="B19" s="17" t="s">
        <v>51</v>
      </c>
      <c r="C19" s="17">
        <f>AVERAGE(C10:C16)</f>
        <v>0.99999999999999989</v>
      </c>
      <c r="D19" s="17">
        <f>AVERAGE(D10:D13)</f>
        <v>0.40620000187062238</v>
      </c>
      <c r="E19" s="17">
        <f>AVERAGE(E10:E13)</f>
        <v>1.1318088881626904</v>
      </c>
      <c r="F19" s="17">
        <f>AVERAGE(F10:F13)</f>
        <v>0.81110124192166633</v>
      </c>
      <c r="I19" s="17" t="s">
        <v>51</v>
      </c>
      <c r="J19" s="17">
        <f>AVERAGE(J10:J15)</f>
        <v>0.99999999999999989</v>
      </c>
      <c r="K19" s="17">
        <f>AVERAGE(K10:K13)</f>
        <v>0.1808968659078698</v>
      </c>
      <c r="L19" s="17">
        <f>AVERAGE(L10:L13)</f>
        <v>0.12424890018390224</v>
      </c>
      <c r="M19" s="17">
        <f>AVERAGE(M10:M13)</f>
        <v>0.11274284545080128</v>
      </c>
    </row>
    <row r="20" spans="1:13" x14ac:dyDescent="0.2">
      <c r="B20" s="17" t="s">
        <v>13</v>
      </c>
      <c r="C20" s="17">
        <f>STDEV(C10:C16)</f>
        <v>0.35215732118778836</v>
      </c>
      <c r="D20" s="17">
        <f>STDEV(D10:D13)</f>
        <v>0.36850714049213629</v>
      </c>
      <c r="E20" s="17">
        <f>STDEV(E10:E13)</f>
        <v>5.0379881385098281E-2</v>
      </c>
      <c r="F20" s="17">
        <f>STDEV(F10:F13)</f>
        <v>0.74667947875551799</v>
      </c>
      <c r="I20" s="17" t="s">
        <v>13</v>
      </c>
      <c r="J20" s="17">
        <f>STDEV(J10:J15)</f>
        <v>0.5584556473161929</v>
      </c>
      <c r="K20" s="17">
        <f>STDEV(K10:K13)</f>
        <v>8.59965750304231E-2</v>
      </c>
      <c r="L20" s="17">
        <f>STDEV(L10:L13)</f>
        <v>6.5359858020054978E-2</v>
      </c>
      <c r="M20" s="17">
        <f>STDEV(M10:M13)</f>
        <v>0.12202131957510623</v>
      </c>
    </row>
    <row r="21" spans="1:13" x14ac:dyDescent="0.2">
      <c r="B21" s="17" t="s">
        <v>14</v>
      </c>
      <c r="C21" s="45">
        <f>C20/(7^0.5)</f>
        <v>0.13310295631908359</v>
      </c>
      <c r="D21" s="45">
        <f>D20/(4^0.5)</f>
        <v>0.18425357024606814</v>
      </c>
      <c r="E21" s="45">
        <f>E20/(4^0.5)</f>
        <v>2.5189940692549141E-2</v>
      </c>
      <c r="F21" s="45">
        <f>F20/(4^0.5)</f>
        <v>0.37333973937775899</v>
      </c>
      <c r="I21" s="17" t="s">
        <v>14</v>
      </c>
      <c r="J21" s="45">
        <f>J20/(6^0.5)</f>
        <v>0.22798856331672579</v>
      </c>
      <c r="K21" s="45">
        <f>K20/(4^0.5)</f>
        <v>4.299828751521155E-2</v>
      </c>
      <c r="L21" s="45">
        <f>L20/(4^0.5)</f>
        <v>3.2679929010027489E-2</v>
      </c>
      <c r="M21" s="45">
        <f>M20/(4^0.5)</f>
        <v>6.1010659787553115E-2</v>
      </c>
    </row>
    <row r="22" spans="1:13" x14ac:dyDescent="0.2">
      <c r="B22" s="9"/>
      <c r="C22" s="9"/>
      <c r="D22" s="9"/>
      <c r="E22" s="9"/>
      <c r="F22" s="9"/>
    </row>
    <row r="23" spans="1:13" x14ac:dyDescent="0.2">
      <c r="B23" s="9"/>
      <c r="C23" s="9"/>
      <c r="D23" s="9"/>
      <c r="E23" s="9"/>
      <c r="F23" s="9"/>
    </row>
    <row r="24" spans="1:13" ht="18" x14ac:dyDescent="0.2">
      <c r="B24" s="19" t="s">
        <v>52</v>
      </c>
      <c r="C24" s="20"/>
      <c r="D24" s="20"/>
      <c r="E24" s="20"/>
      <c r="F24" s="20"/>
      <c r="I24" s="19" t="s">
        <v>52</v>
      </c>
      <c r="J24" s="20"/>
      <c r="K24" s="20"/>
      <c r="L24" s="20"/>
      <c r="M24" s="20"/>
    </row>
    <row r="26" spans="1:13" x14ac:dyDescent="0.2">
      <c r="B26" s="15" t="s">
        <v>53</v>
      </c>
      <c r="C26" s="1"/>
      <c r="I26" s="15" t="s">
        <v>53</v>
      </c>
      <c r="J26" s="1"/>
    </row>
    <row r="27" spans="1:13" x14ac:dyDescent="0.2">
      <c r="B27" s="2" t="s">
        <v>0</v>
      </c>
      <c r="F27" s="46">
        <v>2.2349999999999999</v>
      </c>
      <c r="I27" s="2" t="s">
        <v>0</v>
      </c>
      <c r="M27" s="1">
        <v>8.4670000000000005</v>
      </c>
    </row>
    <row r="28" spans="1:13" x14ac:dyDescent="0.2">
      <c r="B28" s="2" t="s">
        <v>36</v>
      </c>
      <c r="F28" s="46">
        <v>0.12620000000000001</v>
      </c>
      <c r="I28" s="2" t="s">
        <v>36</v>
      </c>
      <c r="M28" s="1">
        <v>1.9E-3</v>
      </c>
    </row>
    <row r="29" spans="1:13" x14ac:dyDescent="0.2">
      <c r="B29" s="2" t="s">
        <v>37</v>
      </c>
      <c r="F29" s="46" t="s">
        <v>9</v>
      </c>
      <c r="I29" s="2" t="s">
        <v>37</v>
      </c>
      <c r="M29" s="46" t="s">
        <v>11</v>
      </c>
    </row>
    <row r="30" spans="1:13" x14ac:dyDescent="0.2">
      <c r="B30" s="2" t="s">
        <v>54</v>
      </c>
      <c r="F30" s="46" t="s">
        <v>49</v>
      </c>
      <c r="I30" s="2" t="s">
        <v>54</v>
      </c>
      <c r="M30" s="46" t="s">
        <v>41</v>
      </c>
    </row>
    <row r="31" spans="1:13" x14ac:dyDescent="0.2">
      <c r="B31" s="2" t="s">
        <v>55</v>
      </c>
      <c r="F31" s="46">
        <v>0.30890000000000001</v>
      </c>
      <c r="I31" s="2" t="s">
        <v>55</v>
      </c>
      <c r="M31" s="1">
        <v>0.64470000000000005</v>
      </c>
    </row>
    <row r="33" spans="1:14" x14ac:dyDescent="0.2">
      <c r="B33" s="3" t="s">
        <v>44</v>
      </c>
      <c r="C33" s="76"/>
      <c r="D33" s="76"/>
      <c r="E33" s="76"/>
      <c r="F33" s="76"/>
      <c r="G33" s="76"/>
      <c r="I33" s="3" t="s">
        <v>44</v>
      </c>
      <c r="J33" s="76"/>
      <c r="K33" s="76"/>
      <c r="L33" s="76"/>
      <c r="M33" s="76"/>
      <c r="N33" s="76"/>
    </row>
    <row r="34" spans="1:14" x14ac:dyDescent="0.2">
      <c r="B34" s="76"/>
      <c r="C34" s="16" t="s">
        <v>45</v>
      </c>
      <c r="D34" s="16" t="s">
        <v>46</v>
      </c>
      <c r="E34" s="16" t="s">
        <v>47</v>
      </c>
      <c r="F34" s="16" t="s">
        <v>48</v>
      </c>
      <c r="G34" s="92" t="s">
        <v>5</v>
      </c>
      <c r="I34" s="76"/>
      <c r="J34" s="16" t="s">
        <v>45</v>
      </c>
      <c r="K34" s="16" t="s">
        <v>46</v>
      </c>
      <c r="L34" s="16" t="s">
        <v>47</v>
      </c>
      <c r="M34" s="16" t="s">
        <v>48</v>
      </c>
      <c r="N34" s="16" t="s">
        <v>5</v>
      </c>
    </row>
    <row r="35" spans="1:14" x14ac:dyDescent="0.2">
      <c r="B35" s="2" t="s">
        <v>6</v>
      </c>
      <c r="C35" s="1">
        <v>0.59379999999999999</v>
      </c>
      <c r="D35" s="1" t="s">
        <v>255</v>
      </c>
      <c r="E35" s="1" t="s">
        <v>49</v>
      </c>
      <c r="F35" s="1" t="s">
        <v>9</v>
      </c>
      <c r="G35" s="1">
        <v>0.1178</v>
      </c>
      <c r="I35" s="2" t="s">
        <v>207</v>
      </c>
      <c r="J35" s="1">
        <v>0.81910000000000005</v>
      </c>
      <c r="K35" s="1" t="s">
        <v>256</v>
      </c>
      <c r="L35" s="1" t="s">
        <v>41</v>
      </c>
      <c r="M35" s="1" t="s">
        <v>11</v>
      </c>
      <c r="N35" s="1">
        <v>6.4999999999999997E-3</v>
      </c>
    </row>
    <row r="36" spans="1:14" x14ac:dyDescent="0.2">
      <c r="B36" s="2" t="s">
        <v>7</v>
      </c>
      <c r="C36" s="1">
        <v>-0.1318</v>
      </c>
      <c r="D36" s="1" t="s">
        <v>257</v>
      </c>
      <c r="E36" s="1" t="s">
        <v>49</v>
      </c>
      <c r="F36" s="1" t="s">
        <v>9</v>
      </c>
      <c r="G36" s="1">
        <v>0.93889999999999996</v>
      </c>
      <c r="I36" s="2" t="s">
        <v>6</v>
      </c>
      <c r="J36" s="1">
        <v>0.87580000000000002</v>
      </c>
      <c r="K36" s="1" t="s">
        <v>258</v>
      </c>
      <c r="L36" s="1" t="s">
        <v>41</v>
      </c>
      <c r="M36" s="1" t="s">
        <v>11</v>
      </c>
      <c r="N36" s="1">
        <v>3.8999999999999998E-3</v>
      </c>
    </row>
    <row r="37" spans="1:14" x14ac:dyDescent="0.2">
      <c r="B37" s="2" t="s">
        <v>8</v>
      </c>
      <c r="C37" s="1">
        <v>0.18890000000000001</v>
      </c>
      <c r="D37" s="1" t="s">
        <v>259</v>
      </c>
      <c r="E37" s="1" t="s">
        <v>49</v>
      </c>
      <c r="F37" s="1" t="s">
        <v>9</v>
      </c>
      <c r="G37" s="1">
        <v>0.84699999999999998</v>
      </c>
      <c r="I37" s="2" t="s">
        <v>7</v>
      </c>
      <c r="J37" s="1">
        <v>0.88729999999999998</v>
      </c>
      <c r="K37" s="1" t="s">
        <v>260</v>
      </c>
      <c r="L37" s="1" t="s">
        <v>41</v>
      </c>
      <c r="M37" s="1" t="s">
        <v>11</v>
      </c>
      <c r="N37" s="1">
        <v>3.5999999999999999E-3</v>
      </c>
    </row>
    <row r="38" spans="1:14" x14ac:dyDescent="0.2">
      <c r="I38" s="2" t="s">
        <v>8</v>
      </c>
      <c r="J38" s="77"/>
      <c r="K38" s="77"/>
      <c r="L38" s="77"/>
      <c r="M38" s="77"/>
      <c r="N38" s="77"/>
    </row>
    <row r="42" spans="1:14" ht="18" x14ac:dyDescent="0.2">
      <c r="A42" s="14" t="s">
        <v>261</v>
      </c>
      <c r="B42" s="9"/>
      <c r="C42" s="9"/>
      <c r="D42" s="9"/>
      <c r="E42" s="9"/>
      <c r="F42" s="9"/>
    </row>
    <row r="43" spans="1:14" x14ac:dyDescent="0.2">
      <c r="A43" s="9"/>
      <c r="B43" s="9"/>
      <c r="C43" s="9"/>
      <c r="D43" s="9"/>
      <c r="E43" s="9"/>
      <c r="F43" s="9"/>
    </row>
    <row r="44" spans="1:14" x14ac:dyDescent="0.2">
      <c r="A44" s="9"/>
      <c r="B44" s="9"/>
      <c r="C44" s="9"/>
      <c r="D44" s="9"/>
      <c r="E44" s="9"/>
      <c r="F44" s="9"/>
    </row>
    <row r="45" spans="1:14" x14ac:dyDescent="0.2">
      <c r="A45" s="9"/>
      <c r="B45" s="59" t="s">
        <v>181</v>
      </c>
      <c r="C45" s="18" t="s">
        <v>1</v>
      </c>
      <c r="D45" s="22" t="s">
        <v>2</v>
      </c>
      <c r="E45" s="22" t="s">
        <v>3</v>
      </c>
      <c r="F45" s="22" t="s">
        <v>4</v>
      </c>
      <c r="I45" s="59" t="s">
        <v>185</v>
      </c>
      <c r="J45" s="18" t="s">
        <v>1</v>
      </c>
      <c r="K45" s="22" t="s">
        <v>2</v>
      </c>
      <c r="L45" s="22" t="s">
        <v>3</v>
      </c>
      <c r="M45" s="22" t="s">
        <v>4</v>
      </c>
    </row>
    <row r="46" spans="1:14" x14ac:dyDescent="0.2">
      <c r="A46" s="9"/>
      <c r="B46" s="11" t="s">
        <v>32</v>
      </c>
      <c r="C46" s="4">
        <v>0.50951245436241488</v>
      </c>
      <c r="D46" s="4">
        <v>8.2983447901718767E-3</v>
      </c>
      <c r="E46" s="4">
        <v>0.92395168433546071</v>
      </c>
      <c r="F46" s="4">
        <v>0.98046587034289578</v>
      </c>
      <c r="I46" s="11" t="s">
        <v>32</v>
      </c>
      <c r="J46" s="4">
        <v>0.43523817453422575</v>
      </c>
      <c r="K46" s="4">
        <v>9.6639386100962118E-3</v>
      </c>
      <c r="L46" s="54">
        <v>0.32175333456726057</v>
      </c>
      <c r="M46" s="4">
        <v>0.13799395795874383</v>
      </c>
    </row>
    <row r="47" spans="1:14" x14ac:dyDescent="0.2">
      <c r="A47" s="9"/>
      <c r="B47" s="11" t="s">
        <v>33</v>
      </c>
      <c r="C47" s="4">
        <v>1.8350117699881558</v>
      </c>
      <c r="D47" s="4">
        <v>2.3375472164438769E-2</v>
      </c>
      <c r="E47" s="4">
        <v>0.223715840443622</v>
      </c>
      <c r="F47" s="4">
        <v>2.1988349511079184</v>
      </c>
      <c r="I47" s="11" t="s">
        <v>33</v>
      </c>
      <c r="J47" s="4">
        <v>1.1396785818828941</v>
      </c>
      <c r="K47" s="4">
        <v>2.0383943659075983E-2</v>
      </c>
      <c r="L47" s="54">
        <v>4.4539433086787567E-2</v>
      </c>
      <c r="M47" s="4">
        <v>0.13827641450420156</v>
      </c>
    </row>
    <row r="48" spans="1:14" x14ac:dyDescent="0.2">
      <c r="A48" s="9"/>
      <c r="B48" s="11" t="s">
        <v>34</v>
      </c>
      <c r="C48" s="4">
        <v>0.59365197676822989</v>
      </c>
      <c r="D48" s="4">
        <v>1.1570855270219924E-2</v>
      </c>
      <c r="E48" s="4">
        <v>0.47232091180575325</v>
      </c>
      <c r="F48" s="4">
        <v>2.0048430744854469</v>
      </c>
      <c r="I48" s="11" t="s">
        <v>34</v>
      </c>
      <c r="J48" s="4">
        <v>1.914313355869131</v>
      </c>
      <c r="K48" s="4">
        <v>2.7684590747504571E-2</v>
      </c>
      <c r="L48" s="54">
        <v>8.091365514027396E-2</v>
      </c>
      <c r="M48" s="4">
        <v>0.10318298586064656</v>
      </c>
    </row>
    <row r="49" spans="1:13" x14ac:dyDescent="0.2">
      <c r="A49" s="9"/>
      <c r="B49" s="11" t="s">
        <v>35</v>
      </c>
      <c r="C49" s="17">
        <v>0.95101454862266654</v>
      </c>
      <c r="D49" s="17">
        <v>3.2935546899774869E-2</v>
      </c>
      <c r="E49" s="17">
        <v>0.2311881435939365</v>
      </c>
      <c r="F49" s="17">
        <v>0.72756059676286366</v>
      </c>
      <c r="I49" s="11" t="s">
        <v>35</v>
      </c>
      <c r="J49" s="17">
        <v>0.68445471851614037</v>
      </c>
      <c r="K49" s="17">
        <v>1.1527528200632818E-2</v>
      </c>
      <c r="L49" s="55">
        <v>3.6747171191682144E-2</v>
      </c>
      <c r="M49" s="17">
        <v>0.17414090188132336</v>
      </c>
    </row>
    <row r="50" spans="1:13" x14ac:dyDescent="0.2">
      <c r="A50" s="9"/>
      <c r="B50" s="11" t="s">
        <v>81</v>
      </c>
      <c r="C50" s="17">
        <v>0.5991293092960891</v>
      </c>
      <c r="D50" s="17"/>
      <c r="E50" s="17"/>
      <c r="F50" s="17"/>
      <c r="I50" s="11" t="s">
        <v>81</v>
      </c>
      <c r="J50" s="17">
        <v>0.76560757296716697</v>
      </c>
      <c r="K50" s="17"/>
      <c r="L50" s="55"/>
      <c r="M50" s="17"/>
    </row>
    <row r="51" spans="1:13" x14ac:dyDescent="0.2">
      <c r="A51" s="9"/>
      <c r="B51" s="11" t="s">
        <v>169</v>
      </c>
      <c r="C51" s="17">
        <v>0.97231070923165241</v>
      </c>
      <c r="D51" s="17"/>
      <c r="E51" s="17"/>
      <c r="F51" s="17"/>
      <c r="I51" s="11" t="s">
        <v>169</v>
      </c>
      <c r="J51" s="17">
        <v>1.0607075962304418</v>
      </c>
      <c r="K51" s="17"/>
      <c r="L51" s="55"/>
      <c r="M51" s="17"/>
    </row>
    <row r="52" spans="1:13" x14ac:dyDescent="0.2">
      <c r="A52" s="9"/>
      <c r="B52" s="11" t="s">
        <v>170</v>
      </c>
      <c r="C52" s="17">
        <v>1.5393692317307912</v>
      </c>
      <c r="D52" s="17"/>
      <c r="E52" s="17"/>
      <c r="F52" s="17"/>
    </row>
    <row r="53" spans="1:13" x14ac:dyDescent="0.2">
      <c r="A53" s="9"/>
    </row>
    <row r="54" spans="1:13" x14ac:dyDescent="0.2">
      <c r="A54" s="9"/>
    </row>
    <row r="55" spans="1:13" x14ac:dyDescent="0.2">
      <c r="A55" s="9"/>
      <c r="B55" s="17" t="s">
        <v>51</v>
      </c>
      <c r="C55" s="17">
        <f>AVERAGE(C46:C52)</f>
        <v>1</v>
      </c>
      <c r="D55" s="17">
        <f>AVERAGE(D46:D49)</f>
        <v>1.9045054781151358E-2</v>
      </c>
      <c r="E55" s="17">
        <f>AVERAGE(E46:E49)</f>
        <v>0.46279414504469307</v>
      </c>
      <c r="F55" s="17">
        <f>AVERAGE(F46:F49)</f>
        <v>1.4779261231747811</v>
      </c>
      <c r="I55" s="17" t="s">
        <v>51</v>
      </c>
      <c r="J55" s="17">
        <f>AVERAGE(J46:J51)</f>
        <v>1</v>
      </c>
      <c r="K55" s="17">
        <f>AVERAGE(K46:K49)</f>
        <v>1.7315000304327394E-2</v>
      </c>
      <c r="L55" s="17">
        <f>AVERAGE(L46:L49)</f>
        <v>0.12098839849650106</v>
      </c>
      <c r="M55" s="17">
        <f>AVERAGE(M46:M49)</f>
        <v>0.13839856505122883</v>
      </c>
    </row>
    <row r="56" spans="1:13" x14ac:dyDescent="0.2">
      <c r="B56" s="17" t="s">
        <v>13</v>
      </c>
      <c r="C56" s="17">
        <f>STDEV(C46:C52)</f>
        <v>0.50952987392005</v>
      </c>
      <c r="D56" s="17">
        <f>STDEV(D46:D49)</f>
        <v>1.1299759879018755E-2</v>
      </c>
      <c r="E56" s="17">
        <f>STDEV(E46:E49)</f>
        <v>0.32840869404273593</v>
      </c>
      <c r="F56" s="17">
        <f>STDEV(F46:F49)</f>
        <v>0.7320897345147096</v>
      </c>
      <c r="I56" s="17" t="s">
        <v>13</v>
      </c>
      <c r="J56" s="17">
        <f>STDEV(J46:J51)</f>
        <v>0.51626136505031461</v>
      </c>
      <c r="K56" s="17">
        <f>STDEV(K46:K49)</f>
        <v>8.3462645871044613E-3</v>
      </c>
      <c r="L56" s="17">
        <f>STDEV(L46:L49)</f>
        <v>0.13522028114722209</v>
      </c>
      <c r="M56" s="17">
        <f>STDEV(M46:M49)</f>
        <v>2.8970273773067955E-2</v>
      </c>
    </row>
    <row r="57" spans="1:13" x14ac:dyDescent="0.2">
      <c r="B57" s="17" t="s">
        <v>14</v>
      </c>
      <c r="C57" s="45">
        <f>C56/(7^0.5)</f>
        <v>0.19258419027864968</v>
      </c>
      <c r="D57" s="45">
        <f>D56/(4^0.5)</f>
        <v>5.6498799395093774E-3</v>
      </c>
      <c r="E57" s="45">
        <f>E56/(4^0.5)</f>
        <v>0.16420434702136796</v>
      </c>
      <c r="F57" s="45">
        <f>F56/(4^0.5)</f>
        <v>0.3660448672573548</v>
      </c>
      <c r="I57" s="17" t="s">
        <v>14</v>
      </c>
      <c r="J57" s="45">
        <f>J56/(6^0.5)</f>
        <v>0.21076281971433128</v>
      </c>
      <c r="K57" s="45">
        <f>K56/(4^0.5)</f>
        <v>4.1731322935522307E-3</v>
      </c>
      <c r="L57" s="45">
        <f>L56/(4^0.5)</f>
        <v>6.7610140573611047E-2</v>
      </c>
      <c r="M57" s="45">
        <f>M56/(4^0.5)</f>
        <v>1.4485136886533977E-2</v>
      </c>
    </row>
    <row r="58" spans="1:13" x14ac:dyDescent="0.2">
      <c r="B58" s="9"/>
      <c r="C58" s="9"/>
      <c r="D58" s="9"/>
      <c r="E58" s="9"/>
      <c r="F58" s="9"/>
    </row>
    <row r="59" spans="1:13" x14ac:dyDescent="0.2">
      <c r="B59" s="9"/>
      <c r="C59" s="9"/>
      <c r="D59" s="9"/>
      <c r="E59" s="9"/>
      <c r="F59" s="9"/>
    </row>
    <row r="60" spans="1:13" ht="18" x14ac:dyDescent="0.2">
      <c r="B60" s="19" t="s">
        <v>52</v>
      </c>
      <c r="C60" s="20"/>
      <c r="D60" s="20"/>
      <c r="E60" s="20"/>
      <c r="F60" s="20"/>
      <c r="I60" s="19" t="s">
        <v>52</v>
      </c>
      <c r="J60" s="20"/>
      <c r="K60" s="20"/>
      <c r="L60" s="20"/>
      <c r="M60" s="20"/>
    </row>
    <row r="62" spans="1:13" x14ac:dyDescent="0.2">
      <c r="B62" s="15" t="s">
        <v>53</v>
      </c>
      <c r="C62" s="1"/>
      <c r="I62" s="15" t="s">
        <v>53</v>
      </c>
      <c r="J62" s="1"/>
    </row>
    <row r="63" spans="1:13" x14ac:dyDescent="0.2">
      <c r="B63" s="2" t="s">
        <v>0</v>
      </c>
      <c r="F63" s="1">
        <v>7.173</v>
      </c>
      <c r="I63" s="2" t="s">
        <v>0</v>
      </c>
      <c r="M63" s="1">
        <v>11.18</v>
      </c>
    </row>
    <row r="64" spans="1:13" x14ac:dyDescent="0.2">
      <c r="B64" s="2" t="s">
        <v>36</v>
      </c>
      <c r="F64" s="1">
        <v>3.3E-3</v>
      </c>
      <c r="I64" s="2" t="s">
        <v>36</v>
      </c>
      <c r="M64" s="1">
        <v>5.0000000000000001E-4</v>
      </c>
    </row>
    <row r="65" spans="1:14" x14ac:dyDescent="0.2">
      <c r="B65" s="2" t="s">
        <v>37</v>
      </c>
      <c r="F65" s="46" t="s">
        <v>11</v>
      </c>
      <c r="I65" s="2" t="s">
        <v>37</v>
      </c>
      <c r="M65" s="46" t="s">
        <v>10</v>
      </c>
    </row>
    <row r="66" spans="1:14" x14ac:dyDescent="0.2">
      <c r="B66" s="2" t="s">
        <v>54</v>
      </c>
      <c r="F66" s="46" t="s">
        <v>41</v>
      </c>
      <c r="I66" s="2" t="s">
        <v>54</v>
      </c>
      <c r="M66" s="46" t="s">
        <v>41</v>
      </c>
    </row>
    <row r="67" spans="1:14" x14ac:dyDescent="0.2">
      <c r="B67" s="2" t="s">
        <v>55</v>
      </c>
      <c r="F67" s="1">
        <v>0.58919999999999995</v>
      </c>
      <c r="I67" s="2" t="s">
        <v>55</v>
      </c>
      <c r="M67" s="1">
        <v>0.70550000000000002</v>
      </c>
    </row>
    <row r="69" spans="1:14" x14ac:dyDescent="0.2">
      <c r="B69" s="3" t="s">
        <v>44</v>
      </c>
      <c r="C69" s="76"/>
      <c r="D69" s="76"/>
      <c r="E69" s="76"/>
      <c r="F69" s="76"/>
      <c r="G69" s="76"/>
      <c r="I69" s="3" t="s">
        <v>44</v>
      </c>
      <c r="J69" s="76"/>
      <c r="K69" s="76"/>
      <c r="L69" s="76"/>
      <c r="M69" s="76"/>
      <c r="N69" s="76"/>
    </row>
    <row r="70" spans="1:14" x14ac:dyDescent="0.2">
      <c r="B70" s="76"/>
      <c r="C70" s="16" t="s">
        <v>45</v>
      </c>
      <c r="D70" s="16" t="s">
        <v>46</v>
      </c>
      <c r="E70" s="16" t="s">
        <v>47</v>
      </c>
      <c r="F70" s="16" t="s">
        <v>48</v>
      </c>
      <c r="G70" s="16" t="s">
        <v>5</v>
      </c>
      <c r="I70" s="76"/>
      <c r="J70" s="16" t="s">
        <v>45</v>
      </c>
      <c r="K70" s="16" t="s">
        <v>46</v>
      </c>
      <c r="L70" s="16" t="s">
        <v>47</v>
      </c>
      <c r="M70" s="16" t="s">
        <v>48</v>
      </c>
      <c r="N70" s="16" t="s">
        <v>5</v>
      </c>
    </row>
    <row r="71" spans="1:14" x14ac:dyDescent="0.2">
      <c r="B71" s="2" t="s">
        <v>6</v>
      </c>
      <c r="C71" s="1">
        <v>0.98099999999999998</v>
      </c>
      <c r="D71" s="1" t="s">
        <v>262</v>
      </c>
      <c r="E71" s="1" t="s">
        <v>41</v>
      </c>
      <c r="F71" s="1" t="s">
        <v>12</v>
      </c>
      <c r="G71" s="1">
        <v>1.5100000000000001E-2</v>
      </c>
      <c r="I71" s="2" t="s">
        <v>6</v>
      </c>
      <c r="J71" s="1">
        <v>0.98270000000000002</v>
      </c>
      <c r="K71" s="1" t="s">
        <v>263</v>
      </c>
      <c r="L71" s="1" t="s">
        <v>41</v>
      </c>
      <c r="M71" s="1" t="s">
        <v>10</v>
      </c>
      <c r="N71" s="1">
        <v>8.0000000000000004E-4</v>
      </c>
    </row>
    <row r="72" spans="1:14" x14ac:dyDescent="0.2">
      <c r="B72" s="2" t="s">
        <v>7</v>
      </c>
      <c r="C72" s="1">
        <v>0.53720000000000001</v>
      </c>
      <c r="D72" s="1" t="s">
        <v>264</v>
      </c>
      <c r="E72" s="1" t="s">
        <v>49</v>
      </c>
      <c r="F72" s="1" t="s">
        <v>9</v>
      </c>
      <c r="G72" s="1">
        <v>0.23469999999999999</v>
      </c>
      <c r="I72" s="2" t="s">
        <v>7</v>
      </c>
      <c r="J72" s="1">
        <v>0.879</v>
      </c>
      <c r="K72" s="1" t="s">
        <v>265</v>
      </c>
      <c r="L72" s="1" t="s">
        <v>41</v>
      </c>
      <c r="M72" s="1" t="s">
        <v>11</v>
      </c>
      <c r="N72" s="1">
        <v>2E-3</v>
      </c>
    </row>
    <row r="73" spans="1:14" x14ac:dyDescent="0.2">
      <c r="B73" s="2" t="s">
        <v>8</v>
      </c>
      <c r="C73" s="1">
        <v>-0.47789999999999999</v>
      </c>
      <c r="D73" s="1" t="s">
        <v>266</v>
      </c>
      <c r="E73" s="1" t="s">
        <v>49</v>
      </c>
      <c r="F73" s="1" t="s">
        <v>9</v>
      </c>
      <c r="G73" s="1">
        <v>0.318</v>
      </c>
      <c r="I73" s="2" t="s">
        <v>8</v>
      </c>
      <c r="J73" s="1">
        <v>0.86160000000000003</v>
      </c>
      <c r="K73" s="1" t="s">
        <v>267</v>
      </c>
      <c r="L73" s="1" t="s">
        <v>41</v>
      </c>
      <c r="M73" s="1" t="s">
        <v>11</v>
      </c>
      <c r="N73" s="1">
        <v>2.3E-3</v>
      </c>
    </row>
    <row r="78" spans="1:14" ht="18" x14ac:dyDescent="0.2">
      <c r="A78" s="14" t="s">
        <v>268</v>
      </c>
      <c r="B78" s="9"/>
      <c r="C78" s="9"/>
      <c r="D78" s="9"/>
      <c r="E78" s="9"/>
      <c r="F78" s="9"/>
    </row>
    <row r="79" spans="1:14" x14ac:dyDescent="0.2">
      <c r="A79" s="9"/>
      <c r="B79" s="9"/>
      <c r="C79" s="9"/>
      <c r="D79" s="9"/>
      <c r="E79" s="9"/>
      <c r="F79" s="9"/>
    </row>
    <row r="80" spans="1:14" x14ac:dyDescent="0.2">
      <c r="A80" s="9"/>
      <c r="B80" s="9"/>
      <c r="C80" s="9"/>
      <c r="D80" s="9"/>
      <c r="E80" s="9"/>
      <c r="F80" s="9"/>
    </row>
    <row r="81" spans="1:13" x14ac:dyDescent="0.2">
      <c r="A81" s="9"/>
      <c r="B81" s="59" t="s">
        <v>181</v>
      </c>
      <c r="C81" s="18" t="s">
        <v>1</v>
      </c>
      <c r="D81" s="22" t="s">
        <v>2</v>
      </c>
      <c r="E81" s="22" t="s">
        <v>3</v>
      </c>
      <c r="F81" s="22" t="s">
        <v>4</v>
      </c>
      <c r="I81" s="59" t="s">
        <v>185</v>
      </c>
      <c r="J81" s="18" t="s">
        <v>1</v>
      </c>
      <c r="K81" s="22" t="s">
        <v>2</v>
      </c>
      <c r="L81" s="22" t="s">
        <v>3</v>
      </c>
      <c r="M81" s="22" t="s">
        <v>4</v>
      </c>
    </row>
    <row r="82" spans="1:13" x14ac:dyDescent="0.2">
      <c r="A82" s="9"/>
      <c r="B82" s="11" t="s">
        <v>32</v>
      </c>
      <c r="C82" s="4">
        <v>1.1165093972322193</v>
      </c>
      <c r="D82" s="4">
        <v>0.19165657452240986</v>
      </c>
      <c r="E82" s="4">
        <v>0.40386510217399718</v>
      </c>
      <c r="F82" s="4">
        <v>0.20079501997945046</v>
      </c>
      <c r="I82" s="11" t="s">
        <v>32</v>
      </c>
      <c r="J82" s="4">
        <v>1.3319863383183432</v>
      </c>
      <c r="K82" s="4">
        <v>9.9685624785865831E-2</v>
      </c>
      <c r="L82" s="4">
        <v>0.47821433603651287</v>
      </c>
      <c r="M82" s="4">
        <v>0.20006341641026987</v>
      </c>
    </row>
    <row r="83" spans="1:13" x14ac:dyDescent="0.2">
      <c r="A83" s="9"/>
      <c r="B83" s="11" t="s">
        <v>33</v>
      </c>
      <c r="C83" s="4">
        <v>1.6603592088308525</v>
      </c>
      <c r="D83" s="4">
        <v>8.1565077295015082E-2</v>
      </c>
      <c r="E83" s="4">
        <v>0.23236189306124452</v>
      </c>
      <c r="F83" s="4">
        <v>0.89990548640260792</v>
      </c>
      <c r="I83" s="11" t="s">
        <v>33</v>
      </c>
      <c r="J83" s="4">
        <v>0.44787848994176871</v>
      </c>
      <c r="K83" s="4">
        <v>8.7121903480428753E-2</v>
      </c>
      <c r="L83" s="4">
        <v>6.3126049791059805E-2</v>
      </c>
      <c r="M83" s="4">
        <v>6.2007188418130348E-2</v>
      </c>
    </row>
    <row r="84" spans="1:13" x14ac:dyDescent="0.2">
      <c r="A84" s="9"/>
      <c r="B84" s="11" t="s">
        <v>34</v>
      </c>
      <c r="C84" s="4">
        <v>1.1827501909965823</v>
      </c>
      <c r="D84" s="4">
        <v>0.1188855595604504</v>
      </c>
      <c r="E84" s="4">
        <v>0.38464391589868863</v>
      </c>
      <c r="F84" s="4">
        <v>1.5628132516634334</v>
      </c>
      <c r="I84" s="11" t="s">
        <v>34</v>
      </c>
      <c r="J84" s="4">
        <v>1.9474405471054228</v>
      </c>
      <c r="K84" s="4">
        <v>0.15089106508874894</v>
      </c>
      <c r="L84" s="4">
        <v>0.48049032451682888</v>
      </c>
      <c r="M84" s="4">
        <v>0.39435840196182054</v>
      </c>
    </row>
    <row r="85" spans="1:13" x14ac:dyDescent="0.2">
      <c r="A85" s="9"/>
      <c r="B85" s="11" t="s">
        <v>35</v>
      </c>
      <c r="C85" s="17">
        <v>1.0700998310211642</v>
      </c>
      <c r="D85" s="17">
        <v>0.12091753624187797</v>
      </c>
      <c r="E85" s="17">
        <v>0.28078648347119578</v>
      </c>
      <c r="F85" s="17"/>
      <c r="I85" s="11" t="s">
        <v>35</v>
      </c>
      <c r="J85" s="17">
        <v>0.74444093103537679</v>
      </c>
      <c r="K85" s="17">
        <v>9.0088032950705374E-2</v>
      </c>
      <c r="L85" s="17">
        <v>0.27655326605773978</v>
      </c>
      <c r="M85" s="17">
        <v>8.5095655328332118E-2</v>
      </c>
    </row>
    <row r="86" spans="1:13" x14ac:dyDescent="0.2">
      <c r="A86" s="9"/>
      <c r="B86" s="11" t="s">
        <v>81</v>
      </c>
      <c r="C86" s="17">
        <v>0.74444924319167005</v>
      </c>
      <c r="D86" s="17"/>
      <c r="E86" s="17"/>
      <c r="F86" s="17"/>
      <c r="I86" s="11" t="s">
        <v>81</v>
      </c>
      <c r="J86" s="17">
        <v>0.79263538848673432</v>
      </c>
      <c r="K86" s="17"/>
      <c r="L86" s="17"/>
      <c r="M86" s="17"/>
    </row>
    <row r="87" spans="1:13" x14ac:dyDescent="0.2">
      <c r="A87" s="9"/>
      <c r="B87" s="11" t="s">
        <v>169</v>
      </c>
      <c r="C87" s="17">
        <v>0.77356551863564926</v>
      </c>
      <c r="D87" s="17"/>
      <c r="E87" s="17"/>
      <c r="F87" s="17"/>
      <c r="I87" s="11" t="s">
        <v>169</v>
      </c>
      <c r="J87" s="17">
        <v>0.73561830511235293</v>
      </c>
      <c r="K87" s="17"/>
      <c r="L87" s="17"/>
      <c r="M87" s="17"/>
    </row>
    <row r="88" spans="1:13" x14ac:dyDescent="0.2">
      <c r="A88" s="9"/>
      <c r="B88" s="11" t="s">
        <v>170</v>
      </c>
      <c r="C88" s="17">
        <v>0.45226661009186264</v>
      </c>
      <c r="D88" s="17"/>
      <c r="E88" s="17"/>
      <c r="F88" s="17"/>
    </row>
    <row r="89" spans="1:13" x14ac:dyDescent="0.2">
      <c r="A89" s="9"/>
    </row>
    <row r="90" spans="1:13" x14ac:dyDescent="0.2">
      <c r="A90" s="9"/>
    </row>
    <row r="91" spans="1:13" x14ac:dyDescent="0.2">
      <c r="A91" s="9"/>
      <c r="B91" s="17" t="s">
        <v>51</v>
      </c>
      <c r="C91" s="17">
        <f>AVERAGE(C82:C88)</f>
        <v>1</v>
      </c>
      <c r="D91" s="17">
        <f>AVERAGE(D82:D85)</f>
        <v>0.12825618690493834</v>
      </c>
      <c r="E91" s="17">
        <f>AVERAGE(E82:E85)</f>
        <v>0.32541434865128155</v>
      </c>
      <c r="F91" s="17">
        <f>AVERAGE(F82:F84)</f>
        <v>0.88783791934849721</v>
      </c>
      <c r="I91" s="17" t="s">
        <v>51</v>
      </c>
      <c r="J91" s="17">
        <f>AVERAGE(J82:J87)</f>
        <v>0.99999999999999967</v>
      </c>
      <c r="K91" s="17">
        <f>AVERAGE(K82:K85)</f>
        <v>0.10694665657643723</v>
      </c>
      <c r="L91" s="17">
        <f>AVERAGE(L82:L85)</f>
        <v>0.3245959941005353</v>
      </c>
      <c r="M91" s="17">
        <f>AVERAGE(M82:M85)</f>
        <v>0.18538116552963821</v>
      </c>
    </row>
    <row r="92" spans="1:13" x14ac:dyDescent="0.2">
      <c r="B92" s="17" t="s">
        <v>13</v>
      </c>
      <c r="C92" s="17">
        <f>STDEV(C82:C88)</f>
        <v>0.38827631334440182</v>
      </c>
      <c r="D92" s="17">
        <f>STDEV(D82:D85)</f>
        <v>4.5975839006428855E-2</v>
      </c>
      <c r="E92" s="17">
        <f>STDEV(E82:E85)</f>
        <v>8.2286224457610302E-2</v>
      </c>
      <c r="F92" s="17">
        <f>STDEV(F82:F84)</f>
        <v>0.68108930067271312</v>
      </c>
      <c r="I92" s="17" t="s">
        <v>13</v>
      </c>
      <c r="J92" s="17">
        <f>STDEV(J82:J87)</f>
        <v>0.54605949885121574</v>
      </c>
      <c r="K92" s="17">
        <f>STDEV(K82:K85)</f>
        <v>2.9782923787703145E-2</v>
      </c>
      <c r="L92" s="17">
        <f>STDEV(L82:L85)</f>
        <v>0.19881002048027135</v>
      </c>
      <c r="M92" s="17">
        <f>STDEV(M82:M85)</f>
        <v>0.15183914254060796</v>
      </c>
    </row>
    <row r="93" spans="1:13" x14ac:dyDescent="0.2">
      <c r="B93" s="17" t="s">
        <v>14</v>
      </c>
      <c r="C93" s="45">
        <f>C92/(7^0.5)</f>
        <v>0.14675465215518241</v>
      </c>
      <c r="D93" s="45">
        <f>D92/(4^0.5)</f>
        <v>2.2987919503214427E-2</v>
      </c>
      <c r="E93" s="45">
        <f>E92/(4^0.5)</f>
        <v>4.1143112228805151E-2</v>
      </c>
      <c r="F93" s="45">
        <f>F92/(3^0.5)</f>
        <v>0.39322709108556492</v>
      </c>
      <c r="I93" s="17" t="s">
        <v>14</v>
      </c>
      <c r="J93" s="45">
        <f>J92/(6^0.5)</f>
        <v>0.22292785689756262</v>
      </c>
      <c r="K93" s="45">
        <f>K92/(4^0.5)</f>
        <v>1.4891461893851573E-2</v>
      </c>
      <c r="L93" s="45">
        <f>L92/(4^0.5)</f>
        <v>9.9405010240135677E-2</v>
      </c>
      <c r="M93" s="45">
        <f>M92/(4^0.5)</f>
        <v>7.5919571270303979E-2</v>
      </c>
    </row>
    <row r="94" spans="1:13" x14ac:dyDescent="0.2">
      <c r="B94" s="9"/>
      <c r="C94" s="9"/>
      <c r="D94" s="9"/>
      <c r="E94" s="9"/>
      <c r="F94" s="9"/>
    </row>
    <row r="95" spans="1:13" x14ac:dyDescent="0.2">
      <c r="B95" s="9"/>
      <c r="C95" s="9"/>
      <c r="D95" s="9"/>
      <c r="E95" s="9"/>
      <c r="F95" s="9"/>
    </row>
    <row r="96" spans="1:13" ht="18" x14ac:dyDescent="0.2">
      <c r="B96" s="19" t="s">
        <v>52</v>
      </c>
      <c r="C96" s="20"/>
      <c r="D96" s="20"/>
      <c r="E96" s="20"/>
      <c r="F96" s="20"/>
      <c r="I96" s="19" t="s">
        <v>52</v>
      </c>
      <c r="J96" s="20"/>
      <c r="K96" s="20"/>
      <c r="L96" s="20"/>
      <c r="M96" s="20"/>
    </row>
    <row r="98" spans="2:14" x14ac:dyDescent="0.2">
      <c r="B98" s="15" t="s">
        <v>53</v>
      </c>
      <c r="C98" s="1"/>
      <c r="I98" s="15" t="s">
        <v>53</v>
      </c>
      <c r="J98" s="1"/>
    </row>
    <row r="99" spans="2:14" x14ac:dyDescent="0.2">
      <c r="B99" s="2" t="s">
        <v>0</v>
      </c>
      <c r="F99" s="1">
        <v>6.3630000000000004</v>
      </c>
      <c r="I99" s="2" t="s">
        <v>0</v>
      </c>
      <c r="M99" s="1">
        <v>7.2759999999999998</v>
      </c>
    </row>
    <row r="100" spans="2:14" x14ac:dyDescent="0.2">
      <c r="B100" s="2" t="s">
        <v>36</v>
      </c>
      <c r="F100" s="1">
        <v>6.0000000000000001E-3</v>
      </c>
      <c r="I100" s="2" t="s">
        <v>36</v>
      </c>
      <c r="M100" s="1">
        <v>3.5000000000000001E-3</v>
      </c>
    </row>
    <row r="101" spans="2:14" x14ac:dyDescent="0.2">
      <c r="B101" s="2" t="s">
        <v>37</v>
      </c>
      <c r="F101" s="46" t="s">
        <v>11</v>
      </c>
      <c r="I101" s="2" t="s">
        <v>37</v>
      </c>
      <c r="M101" s="46" t="s">
        <v>11</v>
      </c>
    </row>
    <row r="102" spans="2:14" x14ac:dyDescent="0.2">
      <c r="B102" s="2" t="s">
        <v>54</v>
      </c>
      <c r="F102" s="46" t="s">
        <v>41</v>
      </c>
      <c r="I102" s="2" t="s">
        <v>54</v>
      </c>
      <c r="M102" s="46" t="s">
        <v>41</v>
      </c>
    </row>
    <row r="103" spans="2:14" x14ac:dyDescent="0.2">
      <c r="B103" s="2" t="s">
        <v>55</v>
      </c>
      <c r="F103" s="1">
        <v>0.57689999999999997</v>
      </c>
      <c r="I103" s="2" t="s">
        <v>55</v>
      </c>
      <c r="M103" s="1">
        <v>0.60919999999999996</v>
      </c>
    </row>
    <row r="105" spans="2:14" x14ac:dyDescent="0.2">
      <c r="B105" s="3" t="s">
        <v>44</v>
      </c>
      <c r="C105" s="76"/>
      <c r="D105" s="76"/>
      <c r="E105" s="76"/>
      <c r="F105" s="76"/>
      <c r="G105" s="76"/>
      <c r="I105" s="3" t="s">
        <v>44</v>
      </c>
      <c r="J105" s="76"/>
      <c r="K105" s="76"/>
      <c r="L105" s="76"/>
      <c r="M105" s="76"/>
      <c r="N105" s="76"/>
    </row>
    <row r="106" spans="2:14" x14ac:dyDescent="0.2">
      <c r="B106" s="76"/>
      <c r="C106" s="16" t="s">
        <v>45</v>
      </c>
      <c r="D106" s="16" t="s">
        <v>46</v>
      </c>
      <c r="E106" s="16" t="s">
        <v>47</v>
      </c>
      <c r="F106" s="16" t="s">
        <v>48</v>
      </c>
      <c r="G106" s="16" t="s">
        <v>5</v>
      </c>
      <c r="I106" s="76"/>
      <c r="J106" s="16" t="s">
        <v>45</v>
      </c>
      <c r="K106" s="16" t="s">
        <v>46</v>
      </c>
      <c r="L106" s="16" t="s">
        <v>47</v>
      </c>
      <c r="M106" s="16" t="s">
        <v>48</v>
      </c>
      <c r="N106" s="16" t="s">
        <v>5</v>
      </c>
    </row>
    <row r="107" spans="2:14" x14ac:dyDescent="0.2">
      <c r="B107" s="2" t="s">
        <v>6</v>
      </c>
      <c r="C107" s="1">
        <v>0.87170000000000003</v>
      </c>
      <c r="D107" s="1" t="s">
        <v>269</v>
      </c>
      <c r="E107" s="1" t="s">
        <v>41</v>
      </c>
      <c r="F107" s="1" t="s">
        <v>11</v>
      </c>
      <c r="G107" s="1">
        <v>5.3E-3</v>
      </c>
      <c r="I107" s="2" t="s">
        <v>6</v>
      </c>
      <c r="J107" s="1">
        <v>0.8931</v>
      </c>
      <c r="K107" s="1" t="s">
        <v>270</v>
      </c>
      <c r="L107" s="1" t="s">
        <v>41</v>
      </c>
      <c r="M107" s="1" t="s">
        <v>11</v>
      </c>
      <c r="N107" s="1">
        <v>3.7000000000000002E-3</v>
      </c>
    </row>
    <row r="108" spans="2:14" x14ac:dyDescent="0.2">
      <c r="B108" s="2" t="s">
        <v>7</v>
      </c>
      <c r="C108" s="1">
        <v>0.67459999999999998</v>
      </c>
      <c r="D108" s="1" t="s">
        <v>271</v>
      </c>
      <c r="E108" s="1" t="s">
        <v>41</v>
      </c>
      <c r="F108" s="1" t="s">
        <v>12</v>
      </c>
      <c r="G108" s="1">
        <v>2.8799999999999999E-2</v>
      </c>
      <c r="I108" s="2" t="s">
        <v>7</v>
      </c>
      <c r="J108" s="1">
        <v>0.6754</v>
      </c>
      <c r="K108" s="1" t="s">
        <v>272</v>
      </c>
      <c r="L108" s="1" t="s">
        <v>41</v>
      </c>
      <c r="M108" s="1" t="s">
        <v>12</v>
      </c>
      <c r="N108" s="1">
        <v>2.4899999999999999E-2</v>
      </c>
    </row>
    <row r="109" spans="2:14" x14ac:dyDescent="0.2">
      <c r="B109" s="2" t="s">
        <v>8</v>
      </c>
      <c r="C109" s="1">
        <v>0.11219999999999999</v>
      </c>
      <c r="D109" s="1" t="s">
        <v>273</v>
      </c>
      <c r="E109" s="1" t="s">
        <v>49</v>
      </c>
      <c r="F109" s="1" t="s">
        <v>9</v>
      </c>
      <c r="G109" s="1">
        <v>0.95169999999999999</v>
      </c>
      <c r="I109" s="2" t="s">
        <v>8</v>
      </c>
      <c r="J109" s="1">
        <v>0.81459999999999999</v>
      </c>
      <c r="K109" s="1" t="s">
        <v>274</v>
      </c>
      <c r="L109" s="1" t="s">
        <v>41</v>
      </c>
      <c r="M109" s="1" t="s">
        <v>11</v>
      </c>
      <c r="N109" s="1">
        <v>7.4000000000000003E-3</v>
      </c>
    </row>
    <row r="114" spans="1:13" ht="18" x14ac:dyDescent="0.2">
      <c r="A114" s="14" t="s">
        <v>275</v>
      </c>
      <c r="B114" s="9"/>
      <c r="C114" s="9"/>
      <c r="D114" s="9"/>
      <c r="E114" s="9"/>
      <c r="F114" s="9"/>
    </row>
    <row r="115" spans="1:13" x14ac:dyDescent="0.2">
      <c r="A115" s="9"/>
      <c r="B115" s="9"/>
      <c r="C115" s="9"/>
      <c r="D115" s="9"/>
      <c r="E115" s="9"/>
      <c r="F115" s="9"/>
    </row>
    <row r="116" spans="1:13" x14ac:dyDescent="0.2">
      <c r="A116" s="9"/>
      <c r="B116" s="9"/>
      <c r="C116" s="9"/>
      <c r="D116" s="9"/>
      <c r="E116" s="9"/>
      <c r="F116" s="9"/>
    </row>
    <row r="117" spans="1:13" x14ac:dyDescent="0.2">
      <c r="A117" s="9"/>
      <c r="B117" s="59" t="s">
        <v>181</v>
      </c>
      <c r="C117" s="18" t="s">
        <v>1</v>
      </c>
      <c r="D117" s="22" t="s">
        <v>2</v>
      </c>
      <c r="E117" s="22" t="s">
        <v>3</v>
      </c>
      <c r="F117" s="22" t="s">
        <v>4</v>
      </c>
      <c r="I117" s="59" t="s">
        <v>185</v>
      </c>
      <c r="J117" s="18" t="s">
        <v>1</v>
      </c>
      <c r="K117" s="22" t="s">
        <v>2</v>
      </c>
      <c r="L117" s="22" t="s">
        <v>3</v>
      </c>
      <c r="M117" s="22" t="s">
        <v>4</v>
      </c>
    </row>
    <row r="118" spans="1:13" x14ac:dyDescent="0.2">
      <c r="A118" s="9"/>
      <c r="B118" s="11" t="s">
        <v>32</v>
      </c>
      <c r="C118" s="54">
        <v>0.72191629572112903</v>
      </c>
      <c r="D118" s="4">
        <v>0.74913803408777679</v>
      </c>
      <c r="E118" s="4">
        <v>1.0245948001912204</v>
      </c>
      <c r="F118" s="4">
        <v>0.36761141615480292</v>
      </c>
      <c r="I118" s="11" t="s">
        <v>32</v>
      </c>
      <c r="J118" s="4">
        <v>2.0255178999033729</v>
      </c>
      <c r="K118" s="4">
        <v>0.23852970296631057</v>
      </c>
      <c r="L118" s="4">
        <v>2.5312339137910902</v>
      </c>
      <c r="M118" s="4">
        <v>0.98982187728129434</v>
      </c>
    </row>
    <row r="119" spans="1:13" x14ac:dyDescent="0.2">
      <c r="A119" s="9"/>
      <c r="B119" s="11" t="s">
        <v>33</v>
      </c>
      <c r="C119" s="54">
        <v>2.0510369395602202</v>
      </c>
      <c r="D119" s="4">
        <v>0.13803475588787975</v>
      </c>
      <c r="E119" s="4">
        <v>4.3066123702309929</v>
      </c>
      <c r="F119" s="4">
        <v>0.90667252670334986</v>
      </c>
      <c r="I119" s="11" t="s">
        <v>33</v>
      </c>
      <c r="J119" s="4">
        <v>1.0563155231926014</v>
      </c>
      <c r="K119" s="4">
        <v>1.5296385995424817</v>
      </c>
      <c r="L119" s="4">
        <v>0.34490975418143677</v>
      </c>
      <c r="M119" s="4">
        <v>0.19952491776354908</v>
      </c>
    </row>
    <row r="120" spans="1:13" x14ac:dyDescent="0.2">
      <c r="A120" s="9"/>
      <c r="B120" s="11" t="s">
        <v>34</v>
      </c>
      <c r="C120" s="54">
        <v>0.8227656538372311</v>
      </c>
      <c r="D120" s="4">
        <v>0.11005552477278585</v>
      </c>
      <c r="E120" s="4">
        <v>0.85234149540744619</v>
      </c>
      <c r="F120" s="4">
        <v>1.0434803805250021</v>
      </c>
      <c r="I120" s="11" t="s">
        <v>34</v>
      </c>
      <c r="J120" s="4">
        <v>0.42476618777612751</v>
      </c>
      <c r="K120" s="4">
        <v>1.8971593143614849</v>
      </c>
      <c r="L120" s="4">
        <v>0.71071390681531577</v>
      </c>
      <c r="M120" s="4">
        <v>1.0374493004188219</v>
      </c>
    </row>
    <row r="121" spans="1:13" x14ac:dyDescent="0.2">
      <c r="A121" s="9"/>
      <c r="B121" s="11" t="s">
        <v>35</v>
      </c>
      <c r="C121" s="55">
        <v>0.45761412063176149</v>
      </c>
      <c r="D121" s="17">
        <v>0.71244644505168797</v>
      </c>
      <c r="E121" s="17">
        <v>1.7655326183688203</v>
      </c>
      <c r="F121" s="17"/>
      <c r="I121" s="11" t="s">
        <v>35</v>
      </c>
      <c r="J121" s="17">
        <v>0.65233766471635724</v>
      </c>
      <c r="K121" s="17">
        <v>2.2639480200531188</v>
      </c>
      <c r="L121" s="17">
        <v>0.98111274190430031</v>
      </c>
      <c r="M121" s="17">
        <v>0.31000015338915798</v>
      </c>
    </row>
    <row r="122" spans="1:13" x14ac:dyDescent="0.2">
      <c r="A122" s="9"/>
      <c r="B122" s="11" t="s">
        <v>81</v>
      </c>
      <c r="C122" s="55">
        <v>0.39446069945832102</v>
      </c>
      <c r="D122" s="17"/>
      <c r="E122" s="17"/>
      <c r="F122" s="17"/>
      <c r="I122" s="11" t="s">
        <v>81</v>
      </c>
      <c r="J122" s="17">
        <v>1.4004018128336146</v>
      </c>
      <c r="K122" s="17"/>
      <c r="L122" s="17"/>
      <c r="M122" s="17"/>
    </row>
    <row r="123" spans="1:13" x14ac:dyDescent="0.2">
      <c r="A123" s="9"/>
      <c r="B123" s="11" t="s">
        <v>169</v>
      </c>
      <c r="C123" s="55">
        <v>0.71571319127786626</v>
      </c>
      <c r="D123" s="17"/>
      <c r="E123" s="17"/>
      <c r="F123" s="17"/>
      <c r="I123" s="11" t="s">
        <v>169</v>
      </c>
      <c r="J123" s="17">
        <v>0.44066091157792697</v>
      </c>
      <c r="K123" s="17"/>
      <c r="L123" s="17"/>
      <c r="M123" s="17"/>
    </row>
    <row r="124" spans="1:13" x14ac:dyDescent="0.2">
      <c r="A124" s="9"/>
      <c r="B124" s="11" t="s">
        <v>170</v>
      </c>
      <c r="C124" s="55">
        <v>1.8364930995134712</v>
      </c>
      <c r="D124" s="17"/>
      <c r="E124" s="17"/>
      <c r="F124" s="17"/>
    </row>
    <row r="125" spans="1:13" x14ac:dyDescent="0.2">
      <c r="A125" s="9"/>
    </row>
    <row r="126" spans="1:13" x14ac:dyDescent="0.2">
      <c r="A126" s="9"/>
    </row>
    <row r="127" spans="1:13" x14ac:dyDescent="0.2">
      <c r="A127" s="9"/>
      <c r="B127" s="17" t="s">
        <v>51</v>
      </c>
      <c r="C127" s="17">
        <f>AVERAGE(C118:C124)</f>
        <v>1.0000000000000002</v>
      </c>
      <c r="D127" s="17">
        <f>AVERAGE(D118:D121)</f>
        <v>0.42741868995003263</v>
      </c>
      <c r="E127" s="17">
        <f>AVERAGE(E118:E121)</f>
        <v>1.9872703210496201</v>
      </c>
      <c r="F127" s="17">
        <f>AVERAGE(F118:F120)</f>
        <v>0.77258810779438492</v>
      </c>
      <c r="I127" s="17" t="s">
        <v>51</v>
      </c>
      <c r="J127" s="17">
        <f>AVERAGE(J118:J123)</f>
        <v>1</v>
      </c>
      <c r="K127" s="17">
        <f>AVERAGE(K118:K121)</f>
        <v>1.4823189092308491</v>
      </c>
      <c r="L127" s="17">
        <f>AVERAGE(L118:L121)</f>
        <v>1.1419925791730359</v>
      </c>
      <c r="M127" s="17">
        <f>AVERAGE(M118:M121)</f>
        <v>0.63419906221320577</v>
      </c>
    </row>
    <row r="128" spans="1:13" x14ac:dyDescent="0.2">
      <c r="B128" s="17" t="s">
        <v>13</v>
      </c>
      <c r="C128" s="17">
        <f>STDEV(C118:C124)</f>
        <v>0.66518433411986733</v>
      </c>
      <c r="D128" s="17">
        <f>STDEV(D118:D121)</f>
        <v>0.35081172418422119</v>
      </c>
      <c r="E128" s="17">
        <f>STDEV(E118:E121)</f>
        <v>1.5961748805216096</v>
      </c>
      <c r="F128" s="17">
        <f>STDEV(F118:F120)</f>
        <v>0.35732854321384327</v>
      </c>
      <c r="I128" s="17" t="s">
        <v>13</v>
      </c>
      <c r="J128" s="17">
        <f>STDEV(J118:J123)</f>
        <v>0.62925404517292516</v>
      </c>
      <c r="K128" s="17">
        <f>STDEV(K118:K121)</f>
        <v>0.8817194132914622</v>
      </c>
      <c r="L128" s="17">
        <f>STDEV(L118:L121)</f>
        <v>0.96215316365226589</v>
      </c>
      <c r="M128" s="17">
        <f>STDEV(M118:M121)</f>
        <v>0.44087975894627718</v>
      </c>
    </row>
    <row r="129" spans="2:14" x14ac:dyDescent="0.2">
      <c r="B129" s="17" t="s">
        <v>14</v>
      </c>
      <c r="C129" s="45">
        <f>C128/(7^0.5)</f>
        <v>0.25141604629960934</v>
      </c>
      <c r="D129" s="45">
        <f>D128/(4^0.5)</f>
        <v>0.17540586209211059</v>
      </c>
      <c r="E129" s="45">
        <f>E128/(4^0.5)</f>
        <v>0.7980874402608048</v>
      </c>
      <c r="F129" s="45">
        <f>F128/(3^0.5)</f>
        <v>0.20630373061364926</v>
      </c>
      <c r="I129" s="17" t="s">
        <v>14</v>
      </c>
      <c r="J129" s="45">
        <f>J128/(6^0.5)</f>
        <v>0.25689188820931713</v>
      </c>
      <c r="K129" s="45">
        <f>K128/(4^0.5)</f>
        <v>0.4408597066457311</v>
      </c>
      <c r="L129" s="45">
        <f>L128/(4^0.5)</f>
        <v>0.48107658182613294</v>
      </c>
      <c r="M129" s="45">
        <f>M128/(4^0.5)</f>
        <v>0.22043987947313859</v>
      </c>
    </row>
    <row r="130" spans="2:14" x14ac:dyDescent="0.2">
      <c r="B130" s="9"/>
      <c r="C130" s="9"/>
      <c r="D130" s="9"/>
      <c r="E130" s="9"/>
      <c r="F130" s="9"/>
    </row>
    <row r="131" spans="2:14" x14ac:dyDescent="0.2">
      <c r="B131" s="9"/>
      <c r="C131" s="9"/>
      <c r="D131" s="9"/>
      <c r="E131" s="9"/>
      <c r="F131" s="9"/>
    </row>
    <row r="132" spans="2:14" ht="18" x14ac:dyDescent="0.2">
      <c r="B132" s="19" t="s">
        <v>52</v>
      </c>
      <c r="C132" s="20"/>
      <c r="D132" s="20"/>
      <c r="E132" s="20"/>
      <c r="F132" s="20"/>
      <c r="I132" s="19" t="s">
        <v>52</v>
      </c>
      <c r="J132" s="20"/>
      <c r="K132" s="20"/>
      <c r="L132" s="20"/>
      <c r="M132" s="20"/>
    </row>
    <row r="134" spans="2:14" x14ac:dyDescent="0.2">
      <c r="B134" s="15" t="s">
        <v>53</v>
      </c>
      <c r="C134" s="1"/>
      <c r="I134" s="15" t="s">
        <v>53</v>
      </c>
      <c r="J134" s="1"/>
    </row>
    <row r="135" spans="2:14" x14ac:dyDescent="0.2">
      <c r="B135" s="2" t="s">
        <v>0</v>
      </c>
      <c r="F135" s="1">
        <v>2.27</v>
      </c>
      <c r="I135" s="2" t="s">
        <v>0</v>
      </c>
      <c r="M135" s="1">
        <v>0.90449999999999997</v>
      </c>
    </row>
    <row r="136" spans="2:14" x14ac:dyDescent="0.2">
      <c r="B136" s="2" t="s">
        <v>36</v>
      </c>
      <c r="F136" s="1">
        <v>0.12529999999999999</v>
      </c>
      <c r="I136" s="2" t="s">
        <v>36</v>
      </c>
      <c r="M136" s="1">
        <v>0.4637</v>
      </c>
    </row>
    <row r="137" spans="2:14" x14ac:dyDescent="0.2">
      <c r="B137" s="2" t="s">
        <v>37</v>
      </c>
      <c r="F137" s="46" t="s">
        <v>9</v>
      </c>
      <c r="I137" s="2" t="s">
        <v>37</v>
      </c>
      <c r="M137" s="46" t="s">
        <v>9</v>
      </c>
    </row>
    <row r="138" spans="2:14" x14ac:dyDescent="0.2">
      <c r="B138" s="2" t="s">
        <v>54</v>
      </c>
      <c r="F138" s="46" t="s">
        <v>49</v>
      </c>
      <c r="I138" s="2" t="s">
        <v>54</v>
      </c>
      <c r="M138" s="46" t="s">
        <v>49</v>
      </c>
    </row>
    <row r="139" spans="2:14" x14ac:dyDescent="0.2">
      <c r="B139" s="2" t="s">
        <v>55</v>
      </c>
      <c r="F139" s="1">
        <v>0.32719999999999999</v>
      </c>
      <c r="I139" s="2" t="s">
        <v>55</v>
      </c>
      <c r="M139" s="1">
        <v>0.1623</v>
      </c>
    </row>
    <row r="141" spans="2:14" x14ac:dyDescent="0.2">
      <c r="B141" s="3" t="s">
        <v>44</v>
      </c>
      <c r="C141" s="76"/>
      <c r="D141" s="76"/>
      <c r="E141" s="76"/>
      <c r="F141" s="76"/>
      <c r="G141" s="76"/>
      <c r="I141" s="3" t="s">
        <v>44</v>
      </c>
      <c r="J141" s="76"/>
      <c r="K141" s="76"/>
      <c r="L141" s="76"/>
      <c r="M141" s="76"/>
      <c r="N141" s="76"/>
    </row>
    <row r="142" spans="2:14" x14ac:dyDescent="0.2">
      <c r="B142" s="76"/>
      <c r="C142" s="16" t="s">
        <v>45</v>
      </c>
      <c r="D142" s="16" t="s">
        <v>46</v>
      </c>
      <c r="E142" s="16" t="s">
        <v>47</v>
      </c>
      <c r="F142" s="16" t="s">
        <v>48</v>
      </c>
      <c r="G142" s="16" t="s">
        <v>5</v>
      </c>
      <c r="I142" s="76"/>
      <c r="J142" s="16" t="s">
        <v>45</v>
      </c>
      <c r="K142" s="16" t="s">
        <v>46</v>
      </c>
      <c r="L142" s="16" t="s">
        <v>47</v>
      </c>
      <c r="M142" s="16" t="s">
        <v>48</v>
      </c>
      <c r="N142" s="16" t="s">
        <v>5</v>
      </c>
    </row>
    <row r="143" spans="2:14" x14ac:dyDescent="0.2">
      <c r="B143" s="2" t="s">
        <v>6</v>
      </c>
      <c r="C143" s="1">
        <v>0.5726</v>
      </c>
      <c r="D143" s="1" t="s">
        <v>276</v>
      </c>
      <c r="E143" s="1" t="s">
        <v>49</v>
      </c>
      <c r="F143" s="1" t="s">
        <v>9</v>
      </c>
      <c r="G143" s="1">
        <v>0.64239999999999997</v>
      </c>
      <c r="I143" s="2" t="s">
        <v>6</v>
      </c>
      <c r="J143" s="1">
        <v>-0.48230000000000001</v>
      </c>
      <c r="K143" s="1" t="s">
        <v>277</v>
      </c>
      <c r="L143" s="1" t="s">
        <v>49</v>
      </c>
      <c r="M143" s="1" t="s">
        <v>9</v>
      </c>
      <c r="N143" s="1">
        <v>0.64949999999999997</v>
      </c>
    </row>
    <row r="144" spans="2:14" x14ac:dyDescent="0.2">
      <c r="B144" s="2" t="s">
        <v>7</v>
      </c>
      <c r="C144" s="1">
        <v>-0.98729999999999996</v>
      </c>
      <c r="D144" s="1" t="s">
        <v>278</v>
      </c>
      <c r="E144" s="1" t="s">
        <v>49</v>
      </c>
      <c r="F144" s="1" t="s">
        <v>9</v>
      </c>
      <c r="G144" s="1">
        <v>0.2366</v>
      </c>
      <c r="I144" s="2" t="s">
        <v>7</v>
      </c>
      <c r="J144" s="1">
        <v>-0.14199999999999999</v>
      </c>
      <c r="K144" s="1" t="s">
        <v>279</v>
      </c>
      <c r="L144" s="1" t="s">
        <v>49</v>
      </c>
      <c r="M144" s="1" t="s">
        <v>9</v>
      </c>
      <c r="N144" s="1">
        <v>0.98370000000000002</v>
      </c>
    </row>
    <row r="145" spans="1:14" x14ac:dyDescent="0.2">
      <c r="B145" s="2" t="s">
        <v>8</v>
      </c>
      <c r="C145" s="1">
        <v>0.22739999999999999</v>
      </c>
      <c r="D145" s="1" t="s">
        <v>280</v>
      </c>
      <c r="E145" s="1" t="s">
        <v>49</v>
      </c>
      <c r="F145" s="1" t="s">
        <v>9</v>
      </c>
      <c r="G145" s="1">
        <v>0.97060000000000002</v>
      </c>
      <c r="I145" s="2" t="s">
        <v>8</v>
      </c>
      <c r="J145" s="1">
        <v>0.36580000000000001</v>
      </c>
      <c r="K145" s="1" t="s">
        <v>281</v>
      </c>
      <c r="L145" s="1" t="s">
        <v>49</v>
      </c>
      <c r="M145" s="1" t="s">
        <v>9</v>
      </c>
      <c r="N145" s="1">
        <v>0.80269999999999997</v>
      </c>
    </row>
    <row r="150" spans="1:14" ht="18" x14ac:dyDescent="0.2">
      <c r="A150" s="14" t="s">
        <v>282</v>
      </c>
      <c r="B150" s="9"/>
      <c r="C150" s="9"/>
      <c r="D150" s="9"/>
      <c r="E150" s="9"/>
      <c r="F150" s="9"/>
    </row>
    <row r="151" spans="1:14" x14ac:dyDescent="0.2">
      <c r="A151" s="9"/>
      <c r="B151" s="9"/>
      <c r="C151" s="9"/>
      <c r="D151" s="9"/>
      <c r="E151" s="9"/>
      <c r="F151" s="9"/>
    </row>
    <row r="152" spans="1:14" x14ac:dyDescent="0.2">
      <c r="A152" s="9"/>
      <c r="B152" s="9"/>
      <c r="C152" s="9"/>
      <c r="D152" s="9"/>
      <c r="E152" s="9"/>
      <c r="F152" s="9"/>
    </row>
    <row r="153" spans="1:14" x14ac:dyDescent="0.2">
      <c r="A153" s="9"/>
      <c r="B153" s="59" t="s">
        <v>181</v>
      </c>
      <c r="C153" s="18" t="s">
        <v>1</v>
      </c>
      <c r="D153" s="22" t="s">
        <v>2</v>
      </c>
      <c r="E153" s="22" t="s">
        <v>3</v>
      </c>
      <c r="F153" s="22" t="s">
        <v>4</v>
      </c>
      <c r="I153" s="59" t="s">
        <v>185</v>
      </c>
      <c r="J153" s="18" t="s">
        <v>1</v>
      </c>
      <c r="K153" s="22" t="s">
        <v>2</v>
      </c>
      <c r="L153" s="22" t="s">
        <v>3</v>
      </c>
      <c r="M153" s="22" t="s">
        <v>4</v>
      </c>
    </row>
    <row r="154" spans="1:14" x14ac:dyDescent="0.2">
      <c r="A154" s="9"/>
      <c r="B154" s="11" t="s">
        <v>32</v>
      </c>
      <c r="C154" s="4">
        <v>1.7228792270593345</v>
      </c>
      <c r="D154" s="4">
        <v>1.0102914707594168</v>
      </c>
      <c r="E154" s="4">
        <v>1.2257982692679295</v>
      </c>
      <c r="F154" s="4">
        <v>0.59605673882903043</v>
      </c>
      <c r="I154" s="11" t="s">
        <v>32</v>
      </c>
      <c r="J154" s="4">
        <v>1.3731703503405446</v>
      </c>
      <c r="K154" s="4">
        <v>0.46848040527457879</v>
      </c>
      <c r="L154" s="4">
        <v>1.8660150369001818</v>
      </c>
      <c r="M154" s="4">
        <v>0.46385976304837112</v>
      </c>
    </row>
    <row r="155" spans="1:14" x14ac:dyDescent="0.2">
      <c r="A155" s="9"/>
      <c r="B155" s="11" t="s">
        <v>33</v>
      </c>
      <c r="C155" s="4">
        <v>1.6453238437984663</v>
      </c>
      <c r="D155" s="4">
        <v>0.88651784250279542</v>
      </c>
      <c r="E155" s="4">
        <v>3.3120433892992298</v>
      </c>
      <c r="F155" s="4">
        <v>0.7114930517361332</v>
      </c>
      <c r="I155" s="11" t="s">
        <v>33</v>
      </c>
      <c r="J155" s="4">
        <v>0.73258121456954739</v>
      </c>
      <c r="K155" s="4">
        <v>1.299908982730053</v>
      </c>
      <c r="L155" s="4">
        <v>0.44230412796749807</v>
      </c>
      <c r="M155" s="4">
        <v>0.93683092920322919</v>
      </c>
    </row>
    <row r="156" spans="1:14" x14ac:dyDescent="0.2">
      <c r="A156" s="9"/>
      <c r="B156" s="11" t="s">
        <v>34</v>
      </c>
      <c r="C156" s="4">
        <v>0.19955683147692016</v>
      </c>
      <c r="D156" s="4">
        <v>0.45412821298101963</v>
      </c>
      <c r="E156" s="4">
        <v>0.80872525665537898</v>
      </c>
      <c r="F156" s="4">
        <v>2.5813424961420353</v>
      </c>
      <c r="I156" s="11" t="s">
        <v>34</v>
      </c>
      <c r="J156" s="4">
        <v>1.4038712312646648</v>
      </c>
      <c r="K156" s="4">
        <v>1.5610433614115733</v>
      </c>
      <c r="L156" s="4">
        <v>0.2312155948325009</v>
      </c>
      <c r="M156" s="4">
        <v>1.3160010242217279</v>
      </c>
    </row>
    <row r="157" spans="1:14" x14ac:dyDescent="0.2">
      <c r="A157" s="9"/>
      <c r="B157" s="11" t="s">
        <v>35</v>
      </c>
      <c r="C157" s="17">
        <v>0.83582427968742068</v>
      </c>
      <c r="D157" s="17">
        <v>1.0237912440874994</v>
      </c>
      <c r="E157" s="17">
        <v>4.5281494447537751</v>
      </c>
      <c r="F157" s="17"/>
      <c r="I157" s="11" t="s">
        <v>35</v>
      </c>
      <c r="J157" s="17">
        <v>0.78325860089155974</v>
      </c>
      <c r="K157" s="17">
        <v>2.2123974922882232</v>
      </c>
      <c r="L157" s="17">
        <v>0.65647437915055995</v>
      </c>
      <c r="M157" s="17">
        <v>0.34826577605206605</v>
      </c>
    </row>
    <row r="158" spans="1:14" x14ac:dyDescent="0.2">
      <c r="A158" s="9"/>
      <c r="B158" s="11" t="s">
        <v>81</v>
      </c>
      <c r="C158" s="17">
        <v>0.86640986389461883</v>
      </c>
      <c r="D158" s="17"/>
      <c r="E158" s="17"/>
      <c r="F158" s="17"/>
      <c r="I158" s="11" t="s">
        <v>81</v>
      </c>
      <c r="J158" s="17">
        <v>0.95986978651867938</v>
      </c>
      <c r="K158" s="17"/>
      <c r="L158" s="17"/>
      <c r="M158" s="17"/>
    </row>
    <row r="159" spans="1:14" x14ac:dyDescent="0.2">
      <c r="A159" s="9"/>
      <c r="B159" s="11" t="s">
        <v>169</v>
      </c>
      <c r="C159" s="17">
        <v>0.21835864773607472</v>
      </c>
      <c r="D159" s="17"/>
      <c r="E159" s="17"/>
      <c r="F159" s="17"/>
      <c r="I159" s="11" t="s">
        <v>169</v>
      </c>
      <c r="J159" s="17">
        <v>0.74724881641500362</v>
      </c>
      <c r="K159" s="17"/>
      <c r="L159" s="17"/>
      <c r="M159" s="17"/>
    </row>
    <row r="160" spans="1:14" x14ac:dyDescent="0.2">
      <c r="A160" s="9"/>
      <c r="B160" s="11" t="s">
        <v>170</v>
      </c>
      <c r="C160" s="17">
        <v>1.5116473063471658</v>
      </c>
      <c r="D160" s="17"/>
      <c r="E160" s="17"/>
      <c r="F160" s="17"/>
    </row>
    <row r="161" spans="1:13" x14ac:dyDescent="0.2">
      <c r="A161" s="9"/>
    </row>
    <row r="162" spans="1:13" x14ac:dyDescent="0.2">
      <c r="A162" s="9"/>
    </row>
    <row r="163" spans="1:13" x14ac:dyDescent="0.2">
      <c r="A163" s="9"/>
      <c r="B163" s="17" t="s">
        <v>51</v>
      </c>
      <c r="C163" s="17">
        <f>AVERAGE(C154:C160)</f>
        <v>1.0000000000000002</v>
      </c>
      <c r="D163" s="17">
        <f>AVERAGE(D154:D157)</f>
        <v>0.84368219258268295</v>
      </c>
      <c r="E163" s="17">
        <f>AVERAGE(E154:E157)</f>
        <v>2.4686790899940783</v>
      </c>
      <c r="F163" s="17">
        <f>AVERAGE(F154:F156)</f>
        <v>1.2962974289023996</v>
      </c>
      <c r="I163" s="17" t="s">
        <v>51</v>
      </c>
      <c r="J163" s="17">
        <f>AVERAGE(J154:J159)</f>
        <v>1</v>
      </c>
      <c r="K163" s="17">
        <f>AVERAGE(K154:K157)</f>
        <v>1.385457560426107</v>
      </c>
      <c r="L163" s="17">
        <f>AVERAGE(L154:L157)</f>
        <v>0.7990022847126852</v>
      </c>
      <c r="M163" s="17">
        <f>AVERAGE(M154:M157)</f>
        <v>0.7662393731313486</v>
      </c>
    </row>
    <row r="164" spans="1:13" x14ac:dyDescent="0.2">
      <c r="B164" s="17" t="s">
        <v>13</v>
      </c>
      <c r="C164" s="17">
        <f>STDEV(C154:C160)</f>
        <v>0.64514244778318641</v>
      </c>
      <c r="D164" s="17">
        <f>STDEV(D154:D157)</f>
        <v>0.26694888270734979</v>
      </c>
      <c r="E164" s="17">
        <f>STDEV(E154:E157)</f>
        <v>1.7562157182249609</v>
      </c>
      <c r="F164" s="17">
        <f>STDEV(F154:F156)</f>
        <v>1.1143774065423648</v>
      </c>
      <c r="I164" s="17" t="s">
        <v>13</v>
      </c>
      <c r="J164" s="17">
        <f>STDEV(J154:J159)</f>
        <v>0.31188181015980243</v>
      </c>
      <c r="K164" s="17">
        <f>STDEV(K154:K157)</f>
        <v>0.72176304667377689</v>
      </c>
      <c r="L164" s="17">
        <f>STDEV(L154:L157)</f>
        <v>0.73222166894667728</v>
      </c>
      <c r="M164" s="17">
        <f>STDEV(M154:M157)</f>
        <v>0.4462714825686166</v>
      </c>
    </row>
    <row r="165" spans="1:13" x14ac:dyDescent="0.2">
      <c r="B165" s="17" t="s">
        <v>14</v>
      </c>
      <c r="C165" s="45">
        <f>C164/(7^0.5)</f>
        <v>0.24384092529225493</v>
      </c>
      <c r="D165" s="45">
        <f>D164/(4^0.5)</f>
        <v>0.13347444135367489</v>
      </c>
      <c r="E165" s="45">
        <f>E164/(4^0.5)</f>
        <v>0.87810785911248046</v>
      </c>
      <c r="F165" s="45">
        <f>F164/(3^0.5)</f>
        <v>0.64338609564607141</v>
      </c>
      <c r="I165" s="17" t="s">
        <v>14</v>
      </c>
      <c r="J165" s="45">
        <f>J164/(6^0.5)</f>
        <v>0.12732521582451442</v>
      </c>
      <c r="K165" s="45">
        <f>K164/(4^0.5)</f>
        <v>0.36088152333688844</v>
      </c>
      <c r="L165" s="45">
        <f>L164/(4^0.5)</f>
        <v>0.36611083447333864</v>
      </c>
      <c r="M165" s="45">
        <f>M164/(4^0.5)</f>
        <v>0.2231357412843083</v>
      </c>
    </row>
    <row r="166" spans="1:13" x14ac:dyDescent="0.2">
      <c r="B166" s="9"/>
      <c r="C166" s="9"/>
      <c r="D166" s="9"/>
      <c r="E166" s="9"/>
      <c r="F166" s="9"/>
    </row>
    <row r="167" spans="1:13" x14ac:dyDescent="0.2">
      <c r="B167" s="9"/>
      <c r="C167" s="9"/>
      <c r="D167" s="9"/>
      <c r="E167" s="9"/>
      <c r="F167" s="9"/>
    </row>
    <row r="168" spans="1:13" ht="18" x14ac:dyDescent="0.2">
      <c r="B168" s="19" t="s">
        <v>52</v>
      </c>
      <c r="C168" s="20"/>
      <c r="D168" s="20"/>
      <c r="E168" s="20"/>
      <c r="F168" s="20"/>
      <c r="I168" s="19" t="s">
        <v>52</v>
      </c>
      <c r="J168" s="20"/>
      <c r="K168" s="20"/>
      <c r="L168" s="20"/>
      <c r="M168" s="20"/>
    </row>
    <row r="170" spans="1:13" x14ac:dyDescent="0.2">
      <c r="B170" s="15" t="s">
        <v>53</v>
      </c>
      <c r="C170" s="1"/>
      <c r="I170" s="15" t="s">
        <v>53</v>
      </c>
      <c r="J170" s="1"/>
    </row>
    <row r="171" spans="1:13" x14ac:dyDescent="0.2">
      <c r="B171" s="2" t="s">
        <v>0</v>
      </c>
      <c r="F171" s="1">
        <v>2.2269999999999999</v>
      </c>
      <c r="I171" s="2" t="s">
        <v>0</v>
      </c>
      <c r="M171" s="1">
        <v>1.0660000000000001</v>
      </c>
    </row>
    <row r="172" spans="1:13" x14ac:dyDescent="0.2">
      <c r="B172" s="2" t="s">
        <v>36</v>
      </c>
      <c r="F172" s="1">
        <v>0.13009999999999999</v>
      </c>
      <c r="I172" s="2" t="s">
        <v>36</v>
      </c>
      <c r="M172" s="1">
        <v>0.39479999999999998</v>
      </c>
    </row>
    <row r="173" spans="1:13" x14ac:dyDescent="0.2">
      <c r="B173" s="2" t="s">
        <v>37</v>
      </c>
      <c r="F173" s="46" t="s">
        <v>9</v>
      </c>
      <c r="I173" s="2" t="s">
        <v>37</v>
      </c>
      <c r="M173" s="46" t="s">
        <v>9</v>
      </c>
    </row>
    <row r="174" spans="1:13" x14ac:dyDescent="0.2">
      <c r="B174" s="2" t="s">
        <v>54</v>
      </c>
      <c r="F174" s="46" t="s">
        <v>49</v>
      </c>
      <c r="I174" s="2" t="s">
        <v>54</v>
      </c>
      <c r="M174" s="46" t="s">
        <v>49</v>
      </c>
    </row>
    <row r="175" spans="1:13" x14ac:dyDescent="0.2">
      <c r="B175" s="2" t="s">
        <v>55</v>
      </c>
      <c r="F175" s="1">
        <v>0.3231</v>
      </c>
      <c r="I175" s="2" t="s">
        <v>55</v>
      </c>
      <c r="M175" s="1">
        <v>0.186</v>
      </c>
    </row>
    <row r="177" spans="1:14" x14ac:dyDescent="0.2">
      <c r="B177" s="3" t="s">
        <v>44</v>
      </c>
      <c r="C177" s="76"/>
      <c r="D177" s="76"/>
      <c r="E177" s="76"/>
      <c r="F177" s="76"/>
      <c r="G177" s="76"/>
      <c r="H177" s="77"/>
      <c r="I177" s="3" t="s">
        <v>44</v>
      </c>
      <c r="J177" s="76"/>
      <c r="K177" s="76"/>
      <c r="L177" s="76"/>
      <c r="M177" s="76"/>
      <c r="N177" s="76"/>
    </row>
    <row r="178" spans="1:14" x14ac:dyDescent="0.2">
      <c r="B178" s="76"/>
      <c r="C178" s="16" t="s">
        <v>45</v>
      </c>
      <c r="D178" s="16" t="s">
        <v>46</v>
      </c>
      <c r="E178" s="16" t="s">
        <v>47</v>
      </c>
      <c r="F178" s="16" t="s">
        <v>48</v>
      </c>
      <c r="G178" s="16" t="s">
        <v>5</v>
      </c>
      <c r="H178" s="77"/>
      <c r="I178" s="76"/>
      <c r="J178" s="16" t="s">
        <v>45</v>
      </c>
      <c r="K178" s="16" t="s">
        <v>46</v>
      </c>
      <c r="L178" s="16" t="s">
        <v>47</v>
      </c>
      <c r="M178" s="16" t="s">
        <v>48</v>
      </c>
      <c r="N178" s="16" t="s">
        <v>5</v>
      </c>
    </row>
    <row r="179" spans="1:14" x14ac:dyDescent="0.2">
      <c r="B179" s="2" t="s">
        <v>6</v>
      </c>
      <c r="C179" s="1">
        <v>0.15629999999999999</v>
      </c>
      <c r="D179" s="1" t="s">
        <v>283</v>
      </c>
      <c r="E179" s="1" t="s">
        <v>49</v>
      </c>
      <c r="F179" s="1" t="s">
        <v>9</v>
      </c>
      <c r="G179" s="1">
        <v>0.99109999999999998</v>
      </c>
      <c r="H179" s="77"/>
      <c r="I179" s="2" t="s">
        <v>6</v>
      </c>
      <c r="J179" s="1">
        <v>-0.38550000000000001</v>
      </c>
      <c r="K179" s="1" t="s">
        <v>284</v>
      </c>
      <c r="L179" s="1" t="s">
        <v>49</v>
      </c>
      <c r="M179" s="1" t="s">
        <v>9</v>
      </c>
      <c r="N179" s="1">
        <v>0.60140000000000005</v>
      </c>
    </row>
    <row r="180" spans="1:14" x14ac:dyDescent="0.2">
      <c r="B180" s="2" t="s">
        <v>7</v>
      </c>
      <c r="C180" s="1">
        <v>-1.4690000000000001</v>
      </c>
      <c r="D180" s="1" t="s">
        <v>285</v>
      </c>
      <c r="E180" s="1" t="s">
        <v>49</v>
      </c>
      <c r="F180" s="1" t="s">
        <v>9</v>
      </c>
      <c r="G180" s="1">
        <v>9.69E-2</v>
      </c>
      <c r="H180" s="77"/>
      <c r="I180" s="2" t="s">
        <v>7</v>
      </c>
      <c r="J180" s="1">
        <v>0.20100000000000001</v>
      </c>
      <c r="K180" s="1" t="s">
        <v>286</v>
      </c>
      <c r="L180" s="1" t="s">
        <v>49</v>
      </c>
      <c r="M180" s="1" t="s">
        <v>9</v>
      </c>
      <c r="N180" s="1">
        <v>0.90549999999999997</v>
      </c>
    </row>
    <row r="181" spans="1:14" x14ac:dyDescent="0.2">
      <c r="B181" s="2" t="s">
        <v>8</v>
      </c>
      <c r="C181" s="1">
        <v>-0.29630000000000001</v>
      </c>
      <c r="D181" s="1" t="s">
        <v>287</v>
      </c>
      <c r="E181" s="1" t="s">
        <v>49</v>
      </c>
      <c r="F181" s="1" t="s">
        <v>9</v>
      </c>
      <c r="G181" s="1">
        <v>0.95840000000000003</v>
      </c>
      <c r="H181" s="77"/>
      <c r="I181" s="2" t="s">
        <v>8</v>
      </c>
      <c r="J181" s="1">
        <v>0.23380000000000001</v>
      </c>
      <c r="K181" s="1" t="s">
        <v>288</v>
      </c>
      <c r="L181" s="1" t="s">
        <v>49</v>
      </c>
      <c r="M181" s="1" t="s">
        <v>9</v>
      </c>
      <c r="N181" s="1">
        <v>0.86219999999999997</v>
      </c>
    </row>
    <row r="186" spans="1:14" ht="18" x14ac:dyDescent="0.2">
      <c r="A186" s="14" t="s">
        <v>289</v>
      </c>
      <c r="B186" s="9"/>
      <c r="C186" s="9"/>
      <c r="D186" s="9"/>
      <c r="E186" s="9"/>
      <c r="F186" s="9"/>
    </row>
    <row r="187" spans="1:14" x14ac:dyDescent="0.2">
      <c r="A187" s="9"/>
      <c r="B187" s="9"/>
      <c r="C187" s="9"/>
      <c r="D187" s="9"/>
      <c r="E187" s="9"/>
      <c r="F187" s="9"/>
    </row>
    <row r="188" spans="1:14" x14ac:dyDescent="0.2">
      <c r="A188" s="9"/>
      <c r="B188" s="9"/>
      <c r="C188" s="9"/>
      <c r="D188" s="9"/>
      <c r="E188" s="9"/>
      <c r="F188" s="9"/>
    </row>
    <row r="189" spans="1:14" x14ac:dyDescent="0.2">
      <c r="A189" s="9"/>
      <c r="B189" s="59" t="s">
        <v>181</v>
      </c>
      <c r="C189" s="18" t="s">
        <v>1</v>
      </c>
      <c r="D189" s="22" t="s">
        <v>2</v>
      </c>
      <c r="E189" s="22" t="s">
        <v>3</v>
      </c>
      <c r="F189" s="22" t="s">
        <v>4</v>
      </c>
      <c r="I189" s="59" t="s">
        <v>185</v>
      </c>
      <c r="J189" s="18" t="s">
        <v>1</v>
      </c>
      <c r="K189" s="22" t="s">
        <v>2</v>
      </c>
      <c r="L189" s="22" t="s">
        <v>3</v>
      </c>
      <c r="M189" s="22" t="s">
        <v>4</v>
      </c>
    </row>
    <row r="190" spans="1:14" x14ac:dyDescent="0.2">
      <c r="A190" s="9"/>
      <c r="B190" s="11" t="s">
        <v>32</v>
      </c>
      <c r="C190" s="54">
        <v>0.92238798640332909</v>
      </c>
      <c r="D190" s="4">
        <v>6.7939265818898882</v>
      </c>
      <c r="E190" s="4">
        <v>0.22608632352050961</v>
      </c>
      <c r="F190" s="4">
        <v>0.52821443313584404</v>
      </c>
      <c r="I190" s="11" t="s">
        <v>32</v>
      </c>
      <c r="J190" s="4">
        <v>1.3696895390231678</v>
      </c>
      <c r="K190" s="4">
        <v>1.9985434264009547</v>
      </c>
      <c r="L190" s="4">
        <v>1.2519690705609217</v>
      </c>
      <c r="M190" s="4">
        <v>0.65562779422852657</v>
      </c>
    </row>
    <row r="191" spans="1:14" x14ac:dyDescent="0.2">
      <c r="A191" s="9"/>
      <c r="B191" s="11" t="s">
        <v>33</v>
      </c>
      <c r="C191" s="54">
        <v>1.419069873489051</v>
      </c>
      <c r="D191" s="4">
        <v>1.5620554073330604</v>
      </c>
      <c r="E191" s="4">
        <v>0.50230851200683746</v>
      </c>
      <c r="F191" s="4">
        <v>0.98380591070783363</v>
      </c>
      <c r="I191" s="11" t="s">
        <v>33</v>
      </c>
      <c r="J191" s="4">
        <v>0.77700668790171445</v>
      </c>
      <c r="K191" s="4">
        <v>3.868968335405643</v>
      </c>
      <c r="L191" s="4">
        <v>0.24270890068336148</v>
      </c>
      <c r="M191" s="4">
        <v>0.17031753988356202</v>
      </c>
    </row>
    <row r="192" spans="1:14" x14ac:dyDescent="0.2">
      <c r="A192" s="9"/>
      <c r="B192" s="11" t="s">
        <v>34</v>
      </c>
      <c r="C192" s="54">
        <v>0.91836885922453904</v>
      </c>
      <c r="D192" s="4">
        <v>2.9170207078289163</v>
      </c>
      <c r="E192" s="4">
        <v>0.1429067164282429</v>
      </c>
      <c r="F192" s="4">
        <v>3.3572864317805786</v>
      </c>
      <c r="I192" s="11" t="s">
        <v>34</v>
      </c>
      <c r="J192" s="4">
        <v>0.39843020335907703</v>
      </c>
      <c r="K192" s="4">
        <v>4.2909554463990904</v>
      </c>
      <c r="L192" s="4">
        <v>0.84063353846575373</v>
      </c>
      <c r="M192" s="4">
        <v>1.8236121436893764</v>
      </c>
    </row>
    <row r="193" spans="1:13" x14ac:dyDescent="0.2">
      <c r="A193" s="9"/>
      <c r="B193" s="11" t="s">
        <v>35</v>
      </c>
      <c r="C193" s="55">
        <v>1.0088737362749183</v>
      </c>
      <c r="D193" s="17">
        <v>6.3209685112436791</v>
      </c>
      <c r="E193" s="17">
        <v>0.2882406325294482</v>
      </c>
      <c r="F193" s="17"/>
      <c r="I193" s="11" t="s">
        <v>35</v>
      </c>
      <c r="J193" s="17">
        <v>2.0270039799055413</v>
      </c>
      <c r="K193" s="17">
        <v>3.3696504031982784</v>
      </c>
      <c r="L193" s="17">
        <v>0.92408593219341872</v>
      </c>
      <c r="M193" s="17">
        <v>0.14544533419634029</v>
      </c>
    </row>
    <row r="194" spans="1:13" x14ac:dyDescent="0.2">
      <c r="A194" s="9"/>
      <c r="B194" s="11" t="s">
        <v>81</v>
      </c>
      <c r="C194" s="55">
        <v>0.87867139182944609</v>
      </c>
      <c r="D194" s="17"/>
      <c r="E194" s="17"/>
      <c r="F194" s="17"/>
      <c r="I194" s="11" t="s">
        <v>81</v>
      </c>
      <c r="J194" s="17">
        <v>0.60196391907875413</v>
      </c>
      <c r="K194" s="17"/>
      <c r="L194" s="17"/>
      <c r="M194" s="17"/>
    </row>
    <row r="195" spans="1:13" x14ac:dyDescent="0.2">
      <c r="A195" s="9"/>
      <c r="B195" s="11" t="s">
        <v>169</v>
      </c>
      <c r="C195" s="55">
        <v>0.86636425634811953</v>
      </c>
      <c r="D195" s="17"/>
      <c r="E195" s="17"/>
      <c r="F195" s="17"/>
      <c r="I195" s="11" t="s">
        <v>169</v>
      </c>
      <c r="J195" s="17">
        <v>0.82590567073174648</v>
      </c>
      <c r="K195" s="17"/>
      <c r="L195" s="17"/>
      <c r="M195" s="17"/>
    </row>
    <row r="196" spans="1:13" x14ac:dyDescent="0.2">
      <c r="A196" s="9"/>
      <c r="B196" s="11" t="s">
        <v>170</v>
      </c>
      <c r="C196" s="55">
        <v>1.2645268850279143</v>
      </c>
      <c r="D196" s="17"/>
      <c r="E196" s="17"/>
      <c r="F196" s="17"/>
    </row>
    <row r="197" spans="1:13" x14ac:dyDescent="0.2">
      <c r="A197" s="9"/>
    </row>
    <row r="198" spans="1:13" x14ac:dyDescent="0.2">
      <c r="A198" s="9"/>
    </row>
    <row r="199" spans="1:13" x14ac:dyDescent="0.2">
      <c r="A199" s="9"/>
      <c r="B199" s="17" t="s">
        <v>51</v>
      </c>
      <c r="C199" s="17">
        <f>AVERAGE(C190:C196)</f>
        <v>1.0397518555139025</v>
      </c>
      <c r="D199" s="17">
        <f>AVERAGE(D190:D193)</f>
        <v>4.3984928020738856</v>
      </c>
      <c r="E199" s="17">
        <f>AVERAGE(E190:E193)</f>
        <v>0.28988554612125955</v>
      </c>
      <c r="F199" s="17">
        <f>AVERAGE(F190:F192)</f>
        <v>1.6231022585414188</v>
      </c>
      <c r="I199" s="17" t="s">
        <v>51</v>
      </c>
      <c r="J199" s="17">
        <f>AVERAGE(J190:J195)</f>
        <v>1.0000000000000002</v>
      </c>
      <c r="K199" s="17">
        <f>AVERAGE(K190:K193)</f>
        <v>3.3820294028509919</v>
      </c>
      <c r="L199" s="17">
        <f>AVERAGE(L190:L193)</f>
        <v>0.81484936047586387</v>
      </c>
      <c r="M199" s="17">
        <f>AVERAGE(M190:M193)</f>
        <v>0.6987507029994513</v>
      </c>
    </row>
    <row r="200" spans="1:13" x14ac:dyDescent="0.2">
      <c r="B200" s="17" t="s">
        <v>13</v>
      </c>
      <c r="C200" s="17">
        <f>STDEV(C190:C196)</f>
        <v>0.21597751263631537</v>
      </c>
      <c r="D200" s="17">
        <f>STDEV(D190:D193)</f>
        <v>2.5608691562398751</v>
      </c>
      <c r="E200" s="17">
        <f>STDEV(E190:E193)</f>
        <v>0.1536221982209805</v>
      </c>
      <c r="F200" s="17">
        <f>STDEV(F190:F192)</f>
        <v>1.5190250026395051</v>
      </c>
      <c r="I200" s="17" t="s">
        <v>13</v>
      </c>
      <c r="J200" s="17">
        <f>STDEV(J190:J195)</f>
        <v>0.59862531264133079</v>
      </c>
      <c r="K200" s="17">
        <f>STDEV(K190:K193)</f>
        <v>0.99623336679444308</v>
      </c>
      <c r="L200" s="17">
        <f>STDEV(L190:L193)</f>
        <v>0.42071993816617109</v>
      </c>
      <c r="M200" s="17">
        <f>STDEV(M190:M193)</f>
        <v>0.78582468041306563</v>
      </c>
    </row>
    <row r="201" spans="1:13" x14ac:dyDescent="0.2">
      <c r="B201" s="17" t="s">
        <v>14</v>
      </c>
      <c r="C201" s="45">
        <f>C200/(7^0.5)</f>
        <v>8.1631826745428654E-2</v>
      </c>
      <c r="D201" s="45">
        <f>D200/(4^0.5)</f>
        <v>1.2804345781199375</v>
      </c>
      <c r="E201" s="45">
        <f>E200/(4^0.5)</f>
        <v>7.681109911049025E-2</v>
      </c>
      <c r="F201" s="45">
        <f>F200/(3^0.5)</f>
        <v>0.87700949417969032</v>
      </c>
      <c r="I201" s="17" t="s">
        <v>14</v>
      </c>
      <c r="J201" s="45">
        <f>J200/(6^0.5)</f>
        <v>0.24438776051421884</v>
      </c>
      <c r="K201" s="45">
        <f>K200/(4^0.5)</f>
        <v>0.49811668339722154</v>
      </c>
      <c r="L201" s="45">
        <f>L200/(4^0.5)</f>
        <v>0.21035996908308555</v>
      </c>
      <c r="M201" s="45">
        <f>M200/(4^0.5)</f>
        <v>0.39291234020653282</v>
      </c>
    </row>
    <row r="202" spans="1:13" x14ac:dyDescent="0.2">
      <c r="B202" s="9"/>
      <c r="C202" s="9"/>
      <c r="D202" s="9"/>
      <c r="E202" s="9"/>
      <c r="F202" s="9"/>
    </row>
    <row r="203" spans="1:13" x14ac:dyDescent="0.2">
      <c r="B203" s="9"/>
      <c r="C203" s="9"/>
      <c r="D203" s="9"/>
      <c r="E203" s="9"/>
      <c r="F203" s="9"/>
    </row>
    <row r="204" spans="1:13" ht="18" x14ac:dyDescent="0.2">
      <c r="B204" s="19" t="s">
        <v>52</v>
      </c>
      <c r="C204" s="20"/>
      <c r="D204" s="20"/>
      <c r="E204" s="20"/>
      <c r="F204" s="20"/>
      <c r="I204" s="19" t="s">
        <v>52</v>
      </c>
      <c r="J204" s="20"/>
      <c r="K204" s="20"/>
      <c r="L204" s="20"/>
      <c r="M204" s="20"/>
    </row>
    <row r="206" spans="1:13" x14ac:dyDescent="0.2">
      <c r="B206" s="15" t="s">
        <v>53</v>
      </c>
      <c r="C206" s="1"/>
      <c r="I206" s="15" t="s">
        <v>53</v>
      </c>
      <c r="J206" s="1"/>
    </row>
    <row r="207" spans="1:13" x14ac:dyDescent="0.2">
      <c r="B207" s="2" t="s">
        <v>0</v>
      </c>
      <c r="F207" s="1">
        <v>7.6029999999999998</v>
      </c>
      <c r="I207" s="2" t="s">
        <v>0</v>
      </c>
      <c r="M207" s="1">
        <v>13.05</v>
      </c>
    </row>
    <row r="208" spans="1:13" x14ac:dyDescent="0.2">
      <c r="B208" s="2" t="s">
        <v>36</v>
      </c>
      <c r="F208" s="1">
        <v>3.0000000000000001E-3</v>
      </c>
      <c r="I208" s="2" t="s">
        <v>36</v>
      </c>
      <c r="M208" s="46" t="s">
        <v>40</v>
      </c>
    </row>
    <row r="209" spans="2:14" x14ac:dyDescent="0.2">
      <c r="B209" s="2" t="s">
        <v>37</v>
      </c>
      <c r="F209" s="46" t="s">
        <v>11</v>
      </c>
      <c r="I209" s="2" t="s">
        <v>37</v>
      </c>
      <c r="M209" s="46" t="s">
        <v>10</v>
      </c>
    </row>
    <row r="210" spans="2:14" x14ac:dyDescent="0.2">
      <c r="B210" s="2" t="s">
        <v>54</v>
      </c>
      <c r="F210" s="46" t="s">
        <v>41</v>
      </c>
      <c r="I210" s="2" t="s">
        <v>54</v>
      </c>
      <c r="M210" s="46" t="s">
        <v>41</v>
      </c>
    </row>
    <row r="211" spans="2:14" x14ac:dyDescent="0.2">
      <c r="B211" s="2" t="s">
        <v>55</v>
      </c>
      <c r="F211" s="1">
        <v>0.61970000000000003</v>
      </c>
      <c r="I211" s="2" t="s">
        <v>55</v>
      </c>
      <c r="M211" s="1">
        <v>0.73660000000000003</v>
      </c>
    </row>
    <row r="213" spans="2:14" x14ac:dyDescent="0.2">
      <c r="B213" s="3" t="s">
        <v>44</v>
      </c>
      <c r="C213" s="76"/>
      <c r="D213" s="76"/>
      <c r="E213" s="76"/>
      <c r="F213" s="76"/>
      <c r="G213" s="76"/>
      <c r="I213" s="3" t="s">
        <v>44</v>
      </c>
      <c r="J213" s="76"/>
      <c r="K213" s="76"/>
      <c r="L213" s="76"/>
      <c r="M213" s="76"/>
      <c r="N213" s="76"/>
    </row>
    <row r="214" spans="2:14" x14ac:dyDescent="0.2">
      <c r="B214" s="76"/>
      <c r="C214" s="16" t="s">
        <v>45</v>
      </c>
      <c r="D214" s="16" t="s">
        <v>46</v>
      </c>
      <c r="E214" s="16" t="s">
        <v>47</v>
      </c>
      <c r="F214" s="16" t="s">
        <v>48</v>
      </c>
      <c r="G214" s="16" t="s">
        <v>5</v>
      </c>
      <c r="I214" s="76"/>
      <c r="J214" s="16" t="s">
        <v>45</v>
      </c>
      <c r="K214" s="16" t="s">
        <v>46</v>
      </c>
      <c r="L214" s="16" t="s">
        <v>47</v>
      </c>
      <c r="M214" s="16" t="s">
        <v>48</v>
      </c>
      <c r="N214" s="16" t="s">
        <v>5</v>
      </c>
    </row>
    <row r="215" spans="2:14" x14ac:dyDescent="0.2">
      <c r="B215" s="2" t="s">
        <v>6</v>
      </c>
      <c r="C215" s="1">
        <v>-3.359</v>
      </c>
      <c r="D215" s="1" t="s">
        <v>290</v>
      </c>
      <c r="E215" s="1" t="s">
        <v>41</v>
      </c>
      <c r="F215" s="1" t="s">
        <v>11</v>
      </c>
      <c r="G215" s="1">
        <v>3.5000000000000001E-3</v>
      </c>
      <c r="I215" s="2" t="s">
        <v>6</v>
      </c>
      <c r="J215" s="1">
        <v>-2.3820000000000001</v>
      </c>
      <c r="K215" s="1" t="s">
        <v>291</v>
      </c>
      <c r="L215" s="1" t="s">
        <v>41</v>
      </c>
      <c r="M215" s="1" t="s">
        <v>10</v>
      </c>
      <c r="N215" s="46" t="s">
        <v>40</v>
      </c>
    </row>
    <row r="216" spans="2:14" x14ac:dyDescent="0.2">
      <c r="B216" s="2" t="s">
        <v>7</v>
      </c>
      <c r="C216" s="1">
        <v>0.74990000000000001</v>
      </c>
      <c r="D216" s="1" t="s">
        <v>292</v>
      </c>
      <c r="E216" s="1" t="s">
        <v>49</v>
      </c>
      <c r="F216" s="1" t="s">
        <v>9</v>
      </c>
      <c r="G216" s="1">
        <v>0.72750000000000004</v>
      </c>
      <c r="I216" s="2" t="s">
        <v>7</v>
      </c>
      <c r="J216" s="1">
        <v>0.1852</v>
      </c>
      <c r="K216" s="1" t="s">
        <v>293</v>
      </c>
      <c r="L216" s="1" t="s">
        <v>49</v>
      </c>
      <c r="M216" s="1" t="s">
        <v>9</v>
      </c>
      <c r="N216" s="1">
        <v>0.96</v>
      </c>
    </row>
    <row r="217" spans="2:14" x14ac:dyDescent="0.2">
      <c r="B217" s="2" t="s">
        <v>8</v>
      </c>
      <c r="C217" s="1">
        <v>-0.58340000000000003</v>
      </c>
      <c r="D217" s="1" t="s">
        <v>294</v>
      </c>
      <c r="E217" s="1" t="s">
        <v>49</v>
      </c>
      <c r="F217" s="1" t="s">
        <v>9</v>
      </c>
      <c r="G217" s="1">
        <v>0.87729999999999997</v>
      </c>
      <c r="I217" s="2" t="s">
        <v>8</v>
      </c>
      <c r="J217" s="1">
        <v>0.30120000000000002</v>
      </c>
      <c r="K217" s="1" t="s">
        <v>295</v>
      </c>
      <c r="L217" s="1" t="s">
        <v>49</v>
      </c>
      <c r="M217" s="1" t="s">
        <v>9</v>
      </c>
      <c r="N217" s="1">
        <v>0.86</v>
      </c>
    </row>
  </sheetData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2:AF218"/>
  <sheetViews>
    <sheetView zoomScale="75" zoomScaleNormal="75" zoomScalePageLayoutView="75" workbookViewId="0">
      <selection activeCell="AA58" sqref="AA58"/>
    </sheetView>
  </sheetViews>
  <sheetFormatPr baseColWidth="10" defaultRowHeight="16" x14ac:dyDescent="0.2"/>
  <cols>
    <col min="3" max="3" width="20.1640625" customWidth="1"/>
    <col min="18" max="18" width="10.83203125" style="66"/>
    <col min="26" max="26" width="9.33203125" customWidth="1"/>
  </cols>
  <sheetData>
    <row r="2" spans="1:23" ht="18" x14ac:dyDescent="0.2">
      <c r="A2" s="53" t="s">
        <v>1181</v>
      </c>
      <c r="B2" s="8"/>
      <c r="C2" s="8"/>
    </row>
    <row r="4" spans="1:23" ht="20" x14ac:dyDescent="0.2">
      <c r="A4" s="14" t="s">
        <v>924</v>
      </c>
      <c r="B4" s="14"/>
      <c r="C4" s="14"/>
      <c r="D4" s="14"/>
    </row>
    <row r="5" spans="1:23" ht="18" x14ac:dyDescent="0.2">
      <c r="A5" s="93"/>
      <c r="B5" s="66"/>
      <c r="C5" s="66"/>
    </row>
    <row r="7" spans="1:23" s="9" customFormat="1" ht="14" x14ac:dyDescent="0.15">
      <c r="R7" s="42"/>
    </row>
    <row r="8" spans="1:23" s="9" customFormat="1" ht="14" x14ac:dyDescent="0.15">
      <c r="B8" s="537" t="s">
        <v>1</v>
      </c>
      <c r="C8" s="538"/>
      <c r="D8" s="538"/>
      <c r="E8" s="539"/>
      <c r="F8" s="188"/>
      <c r="H8" s="537" t="s">
        <v>296</v>
      </c>
      <c r="I8" s="538"/>
      <c r="J8" s="538"/>
      <c r="K8" s="539"/>
      <c r="L8" s="188"/>
      <c r="N8" s="537" t="s">
        <v>1</v>
      </c>
      <c r="O8" s="538"/>
      <c r="P8" s="538"/>
      <c r="Q8" s="539"/>
      <c r="R8" s="188"/>
      <c r="T8" s="537" t="s">
        <v>296</v>
      </c>
      <c r="U8" s="538"/>
      <c r="V8" s="538"/>
      <c r="W8" s="539"/>
    </row>
    <row r="9" spans="1:23" s="9" customFormat="1" ht="15" x14ac:dyDescent="0.15">
      <c r="B9" s="540" t="s">
        <v>321</v>
      </c>
      <c r="C9" s="541"/>
      <c r="D9" s="541"/>
      <c r="E9" s="542"/>
      <c r="F9" s="188"/>
      <c r="H9" s="540" t="s">
        <v>321</v>
      </c>
      <c r="I9" s="541"/>
      <c r="J9" s="541"/>
      <c r="K9" s="542"/>
      <c r="L9" s="188"/>
      <c r="N9" s="540" t="s">
        <v>322</v>
      </c>
      <c r="O9" s="541"/>
      <c r="P9" s="541"/>
      <c r="Q9" s="542"/>
      <c r="R9" s="188"/>
      <c r="T9" s="540" t="s">
        <v>322</v>
      </c>
      <c r="U9" s="541"/>
      <c r="V9" s="541"/>
      <c r="W9" s="542"/>
    </row>
    <row r="10" spans="1:23" s="9" customFormat="1" ht="14" x14ac:dyDescent="0.15">
      <c r="B10" s="69" t="s">
        <v>162</v>
      </c>
      <c r="C10" s="69" t="s">
        <v>297</v>
      </c>
      <c r="D10" s="69" t="s">
        <v>298</v>
      </c>
      <c r="E10" s="69" t="s">
        <v>299</v>
      </c>
      <c r="F10" s="100"/>
      <c r="G10" s="48"/>
      <c r="H10" s="69" t="s">
        <v>162</v>
      </c>
      <c r="I10" s="69" t="s">
        <v>297</v>
      </c>
      <c r="J10" s="69" t="s">
        <v>298</v>
      </c>
      <c r="K10" s="69" t="s">
        <v>299</v>
      </c>
      <c r="L10" s="100"/>
      <c r="N10" s="69" t="s">
        <v>162</v>
      </c>
      <c r="O10" s="69" t="s">
        <v>297</v>
      </c>
      <c r="P10" s="69" t="s">
        <v>298</v>
      </c>
      <c r="Q10" s="69" t="s">
        <v>299</v>
      </c>
      <c r="R10" s="110"/>
      <c r="T10" s="69" t="s">
        <v>162</v>
      </c>
      <c r="U10" s="69" t="s">
        <v>297</v>
      </c>
      <c r="V10" s="69" t="s">
        <v>298</v>
      </c>
      <c r="W10" s="69" t="s">
        <v>299</v>
      </c>
    </row>
    <row r="11" spans="1:23" s="9" customFormat="1" ht="14" x14ac:dyDescent="0.15">
      <c r="A11" s="17" t="s">
        <v>707</v>
      </c>
      <c r="B11" s="17">
        <v>1</v>
      </c>
      <c r="C11" s="13">
        <v>0.95</v>
      </c>
      <c r="D11" s="105">
        <v>1.0880000000000001</v>
      </c>
      <c r="E11" s="105">
        <v>1.9325000000000001</v>
      </c>
      <c r="F11" s="106"/>
      <c r="G11" s="17" t="s">
        <v>2</v>
      </c>
      <c r="H11" s="17">
        <v>1</v>
      </c>
      <c r="I11" s="105">
        <v>1.2224999999999999</v>
      </c>
      <c r="J11" s="105">
        <v>1.3740000000000001</v>
      </c>
      <c r="K11" s="105">
        <v>2.25</v>
      </c>
      <c r="L11" s="106"/>
      <c r="M11" s="17" t="s">
        <v>707</v>
      </c>
      <c r="N11" s="17">
        <v>1</v>
      </c>
      <c r="O11" s="13">
        <v>3.1825000000000001</v>
      </c>
      <c r="P11" s="13">
        <v>3.0579999999999998</v>
      </c>
      <c r="Q11" s="13">
        <v>3.4375</v>
      </c>
      <c r="R11" s="106"/>
      <c r="S11" s="17" t="s">
        <v>2</v>
      </c>
      <c r="T11" s="17">
        <v>1</v>
      </c>
      <c r="U11" s="105">
        <v>3.4550000000000001</v>
      </c>
      <c r="V11" s="105">
        <v>3.2679999999999998</v>
      </c>
      <c r="W11" s="105">
        <v>3.3025000000000002</v>
      </c>
    </row>
    <row r="12" spans="1:23" s="9" customFormat="1" ht="14" x14ac:dyDescent="0.15">
      <c r="A12" s="17" t="s">
        <v>707</v>
      </c>
      <c r="B12" s="17">
        <v>2</v>
      </c>
      <c r="C12" s="13">
        <v>1.01</v>
      </c>
      <c r="D12" s="105">
        <v>1.1220000000000001</v>
      </c>
      <c r="E12" s="105">
        <v>1.825</v>
      </c>
      <c r="F12" s="106"/>
      <c r="G12" s="17" t="s">
        <v>2</v>
      </c>
      <c r="H12" s="17">
        <v>2</v>
      </c>
      <c r="I12" s="105">
        <v>1.03</v>
      </c>
      <c r="J12" s="105">
        <v>1.1279999999999999</v>
      </c>
      <c r="K12" s="105">
        <v>1.63</v>
      </c>
      <c r="L12" s="106"/>
      <c r="M12" s="17" t="s">
        <v>707</v>
      </c>
      <c r="N12" s="17">
        <v>2</v>
      </c>
      <c r="O12" s="13">
        <v>2.7349999999999999</v>
      </c>
      <c r="P12" s="13">
        <v>2.6379999999999999</v>
      </c>
      <c r="Q12" s="13">
        <v>2.98</v>
      </c>
      <c r="R12" s="106"/>
      <c r="S12" s="17" t="s">
        <v>2</v>
      </c>
      <c r="T12" s="17">
        <v>2</v>
      </c>
      <c r="U12" s="105">
        <v>2.5525000000000002</v>
      </c>
      <c r="V12" s="105">
        <v>2.532</v>
      </c>
      <c r="W12" s="105">
        <v>2.4674999999999998</v>
      </c>
    </row>
    <row r="13" spans="1:23" s="9" customFormat="1" ht="14" x14ac:dyDescent="0.15">
      <c r="A13" s="17" t="s">
        <v>707</v>
      </c>
      <c r="B13" s="17">
        <v>3</v>
      </c>
      <c r="C13" s="13">
        <v>0.91249999999999998</v>
      </c>
      <c r="D13" s="105">
        <v>0.93799999999999994</v>
      </c>
      <c r="E13" s="105">
        <v>1.0760000000000001</v>
      </c>
      <c r="F13" s="106"/>
      <c r="G13" s="17" t="s">
        <v>2</v>
      </c>
      <c r="H13" s="17">
        <v>3</v>
      </c>
      <c r="I13" s="105">
        <v>1.06</v>
      </c>
      <c r="J13" s="105">
        <v>1.1419999999999999</v>
      </c>
      <c r="K13" s="105">
        <v>1.204</v>
      </c>
      <c r="L13" s="106"/>
      <c r="M13" s="17" t="s">
        <v>707</v>
      </c>
      <c r="N13" s="17">
        <v>3</v>
      </c>
      <c r="O13" s="13">
        <v>2.1549999999999998</v>
      </c>
      <c r="P13" s="13">
        <v>2.11</v>
      </c>
      <c r="Q13" s="13">
        <v>1.9059999999999999</v>
      </c>
      <c r="R13" s="106"/>
      <c r="S13" s="17" t="s">
        <v>2</v>
      </c>
      <c r="T13" s="17">
        <v>3</v>
      </c>
      <c r="U13" s="105">
        <v>1.9924999999999999</v>
      </c>
      <c r="V13" s="105">
        <v>1.946</v>
      </c>
      <c r="W13" s="105">
        <v>1.56</v>
      </c>
    </row>
    <row r="14" spans="1:23" s="9" customFormat="1" ht="14" x14ac:dyDescent="0.15">
      <c r="A14" s="17" t="s">
        <v>707</v>
      </c>
      <c r="B14" s="17">
        <v>4</v>
      </c>
      <c r="C14" s="13">
        <v>0.95750000000000002</v>
      </c>
      <c r="D14" s="105">
        <v>1.1040000000000001</v>
      </c>
      <c r="E14" s="105">
        <v>1.8725000000000001</v>
      </c>
      <c r="F14" s="106"/>
      <c r="G14" s="17" t="s">
        <v>2</v>
      </c>
      <c r="H14" s="17">
        <v>4</v>
      </c>
      <c r="I14" s="105">
        <v>1.1325000000000001</v>
      </c>
      <c r="J14" s="105">
        <v>1.3140000000000001</v>
      </c>
      <c r="K14" s="105">
        <v>2.15</v>
      </c>
      <c r="L14" s="106"/>
      <c r="M14" s="17" t="s">
        <v>707</v>
      </c>
      <c r="N14" s="17">
        <v>4</v>
      </c>
      <c r="O14" s="13">
        <v>3.2225000000000001</v>
      </c>
      <c r="P14" s="13">
        <v>3.1019999999999999</v>
      </c>
      <c r="Q14" s="13">
        <v>3.3725000000000001</v>
      </c>
      <c r="R14" s="106"/>
      <c r="S14" s="17" t="s">
        <v>2</v>
      </c>
      <c r="T14" s="17">
        <v>4</v>
      </c>
      <c r="U14" s="105">
        <v>3.8149999999999999</v>
      </c>
      <c r="V14" s="105">
        <v>3.9159999999999999</v>
      </c>
      <c r="W14" s="105">
        <v>3.07</v>
      </c>
    </row>
    <row r="15" spans="1:23" s="9" customFormat="1" ht="14" x14ac:dyDescent="0.15">
      <c r="A15" s="17" t="s">
        <v>707</v>
      </c>
      <c r="B15" s="17">
        <v>5</v>
      </c>
      <c r="C15" s="13">
        <v>1.0349999999999999</v>
      </c>
      <c r="D15" s="105">
        <v>1.1040000000000001</v>
      </c>
      <c r="E15" s="105">
        <v>1.8774999999999999</v>
      </c>
      <c r="F15" s="106"/>
      <c r="G15" s="17" t="s">
        <v>2</v>
      </c>
      <c r="H15" s="17">
        <v>5</v>
      </c>
      <c r="I15" s="105">
        <v>1.1725000000000001</v>
      </c>
      <c r="J15" s="105">
        <v>1.4059999999999999</v>
      </c>
      <c r="K15" s="105">
        <v>1.5525</v>
      </c>
      <c r="L15" s="106"/>
      <c r="M15" s="17" t="s">
        <v>707</v>
      </c>
      <c r="N15" s="17">
        <v>5</v>
      </c>
      <c r="O15" s="13">
        <v>2.5099999999999998</v>
      </c>
      <c r="P15" s="13">
        <v>2.4940000000000002</v>
      </c>
      <c r="Q15" s="13">
        <v>2.84</v>
      </c>
      <c r="R15" s="106"/>
      <c r="S15" s="17" t="s">
        <v>2</v>
      </c>
      <c r="T15" s="17">
        <v>5</v>
      </c>
      <c r="U15" s="105">
        <v>3.875</v>
      </c>
      <c r="V15" s="105">
        <v>3.7519999999999998</v>
      </c>
      <c r="W15" s="105">
        <v>3.74</v>
      </c>
    </row>
    <row r="16" spans="1:23" s="9" customFormat="1" ht="14" x14ac:dyDescent="0.15">
      <c r="A16" s="17" t="s">
        <v>707</v>
      </c>
      <c r="B16" s="17">
        <v>6</v>
      </c>
      <c r="C16" s="13">
        <v>0.99750000000000005</v>
      </c>
      <c r="D16" s="105">
        <v>1.054</v>
      </c>
      <c r="E16" s="105">
        <v>1.3075000000000001</v>
      </c>
      <c r="F16" s="106"/>
      <c r="G16" s="17" t="s">
        <v>2</v>
      </c>
      <c r="H16" s="17">
        <v>6</v>
      </c>
      <c r="I16" s="105">
        <v>0.98599999999999999</v>
      </c>
      <c r="J16" s="105">
        <v>1.242</v>
      </c>
      <c r="K16" s="105">
        <v>1.7066666666666701</v>
      </c>
      <c r="L16" s="106"/>
      <c r="M16" s="17" t="s">
        <v>707</v>
      </c>
      <c r="N16" s="17">
        <v>6</v>
      </c>
      <c r="O16" s="13">
        <v>5.99</v>
      </c>
      <c r="P16" s="13">
        <v>5.718</v>
      </c>
      <c r="Q16" s="13">
        <v>6.4574999999999996</v>
      </c>
      <c r="R16" s="106"/>
      <c r="S16" s="17" t="s">
        <v>2</v>
      </c>
      <c r="T16" s="17">
        <v>6</v>
      </c>
      <c r="U16" s="105">
        <v>3.8624999999999998</v>
      </c>
      <c r="V16" s="105">
        <v>3.74</v>
      </c>
      <c r="W16" s="105">
        <v>3.9933333333333301</v>
      </c>
    </row>
    <row r="17" spans="1:23" s="9" customFormat="1" ht="14" x14ac:dyDescent="0.15">
      <c r="A17" s="17" t="s">
        <v>707</v>
      </c>
      <c r="B17" s="17">
        <v>7</v>
      </c>
      <c r="C17" s="13">
        <v>0.96250000000000002</v>
      </c>
      <c r="D17" s="105">
        <v>1.034</v>
      </c>
      <c r="E17" s="105">
        <v>1.2675000000000001</v>
      </c>
      <c r="F17" s="106"/>
      <c r="G17" s="17" t="s">
        <v>2</v>
      </c>
      <c r="H17" s="17">
        <v>7</v>
      </c>
      <c r="I17" s="105">
        <v>1.2224999999999999</v>
      </c>
      <c r="J17" s="105">
        <v>1.4339999999999999</v>
      </c>
      <c r="K17" s="105">
        <v>2.37</v>
      </c>
      <c r="L17" s="106"/>
      <c r="M17" s="17" t="s">
        <v>707</v>
      </c>
      <c r="N17" s="17">
        <v>7</v>
      </c>
      <c r="O17" s="13">
        <v>1.6924999999999999</v>
      </c>
      <c r="P17" s="13">
        <v>1.6120000000000001</v>
      </c>
      <c r="Q17" s="13">
        <v>1.7150000000000001</v>
      </c>
      <c r="R17" s="106"/>
      <c r="S17" s="17" t="s">
        <v>2</v>
      </c>
      <c r="T17" s="17">
        <v>7</v>
      </c>
      <c r="U17" s="105">
        <v>3.6850000000000001</v>
      </c>
      <c r="V17" s="105">
        <v>3.4740000000000002</v>
      </c>
      <c r="W17" s="105">
        <v>3.5274999999999999</v>
      </c>
    </row>
    <row r="18" spans="1:23" s="9" customFormat="1" ht="14" x14ac:dyDescent="0.15">
      <c r="A18" s="17" t="s">
        <v>707</v>
      </c>
      <c r="B18" s="17">
        <v>8</v>
      </c>
      <c r="C18" s="13">
        <v>1.03</v>
      </c>
      <c r="D18" s="105">
        <v>1.1020000000000001</v>
      </c>
      <c r="E18" s="105">
        <v>1.7450000000000001</v>
      </c>
      <c r="F18" s="106"/>
      <c r="G18" s="17" t="s">
        <v>2</v>
      </c>
      <c r="H18" s="17">
        <v>8</v>
      </c>
      <c r="I18" s="105">
        <v>1.0974999999999999</v>
      </c>
      <c r="J18" s="105">
        <v>1.232</v>
      </c>
      <c r="K18" s="105">
        <v>1.8925000000000001</v>
      </c>
      <c r="L18" s="106"/>
      <c r="M18" s="17" t="s">
        <v>707</v>
      </c>
      <c r="N18" s="17">
        <v>8</v>
      </c>
      <c r="O18" s="13">
        <v>2.62</v>
      </c>
      <c r="P18" s="13">
        <v>2.536</v>
      </c>
      <c r="Q18" s="13">
        <v>2.8250000000000002</v>
      </c>
      <c r="R18" s="106"/>
      <c r="S18" s="17" t="s">
        <v>2</v>
      </c>
      <c r="T18" s="17">
        <v>8</v>
      </c>
      <c r="U18" s="105">
        <v>2.7324999999999999</v>
      </c>
      <c r="V18" s="105">
        <v>2.7639999999999998</v>
      </c>
      <c r="W18" s="105">
        <v>2.8174999999999999</v>
      </c>
    </row>
    <row r="19" spans="1:23" s="9" customFormat="1" ht="14" x14ac:dyDescent="0.15">
      <c r="A19" s="17" t="s">
        <v>707</v>
      </c>
      <c r="B19" s="17">
        <v>9</v>
      </c>
      <c r="C19" s="13">
        <v>0.97499999999999998</v>
      </c>
      <c r="D19" s="105">
        <v>1.012</v>
      </c>
      <c r="E19" s="105">
        <v>1.5674999999999999</v>
      </c>
      <c r="F19" s="106"/>
      <c r="G19" s="17" t="s">
        <v>2</v>
      </c>
      <c r="H19" s="17">
        <v>9</v>
      </c>
      <c r="I19" s="105">
        <v>1.0075000000000001</v>
      </c>
      <c r="J19" s="105">
        <v>1.0780000000000001</v>
      </c>
      <c r="K19" s="105">
        <v>1.45</v>
      </c>
      <c r="L19" s="106"/>
      <c r="M19" s="17" t="s">
        <v>707</v>
      </c>
      <c r="N19" s="17">
        <v>9</v>
      </c>
      <c r="O19" s="13">
        <v>6.2024999999999997</v>
      </c>
      <c r="P19" s="13">
        <v>5.8840000000000003</v>
      </c>
      <c r="Q19" s="13">
        <v>6.6124999999999998</v>
      </c>
      <c r="R19" s="106"/>
      <c r="S19" s="17" t="s">
        <v>2</v>
      </c>
      <c r="T19" s="17">
        <v>9</v>
      </c>
      <c r="U19" s="105">
        <v>2.13</v>
      </c>
      <c r="V19" s="105">
        <v>2.0219999999999998</v>
      </c>
      <c r="W19" s="105">
        <v>1.9066666666666701</v>
      </c>
    </row>
    <row r="20" spans="1:23" s="9" customFormat="1" ht="14" x14ac:dyDescent="0.15">
      <c r="A20" s="17" t="s">
        <v>707</v>
      </c>
      <c r="B20" s="17">
        <v>10</v>
      </c>
      <c r="C20" s="13">
        <v>1.01</v>
      </c>
      <c r="D20" s="105">
        <v>1.1240000000000001</v>
      </c>
      <c r="E20" s="105">
        <v>1.4367000000000001</v>
      </c>
      <c r="F20" s="106"/>
      <c r="G20" s="17" t="s">
        <v>2</v>
      </c>
      <c r="H20" s="17">
        <v>10</v>
      </c>
      <c r="I20" s="105">
        <v>1.1525000000000001</v>
      </c>
      <c r="J20" s="105">
        <v>1.244</v>
      </c>
      <c r="K20" s="105">
        <v>1.7375</v>
      </c>
      <c r="L20" s="106"/>
      <c r="M20" s="17" t="s">
        <v>707</v>
      </c>
      <c r="N20" s="17">
        <v>10</v>
      </c>
      <c r="O20" s="13">
        <v>3.24</v>
      </c>
      <c r="P20" s="13">
        <v>3.04</v>
      </c>
      <c r="Q20" s="13">
        <v>3.38</v>
      </c>
      <c r="R20" s="106"/>
      <c r="S20" s="17" t="s">
        <v>2</v>
      </c>
      <c r="T20" s="17">
        <v>10</v>
      </c>
      <c r="U20" s="105">
        <v>2.5825</v>
      </c>
      <c r="V20" s="105">
        <v>2.48</v>
      </c>
      <c r="W20" s="105">
        <v>2.5425</v>
      </c>
    </row>
    <row r="21" spans="1:23" s="9" customFormat="1" ht="14" x14ac:dyDescent="0.15">
      <c r="A21" s="17" t="s">
        <v>707</v>
      </c>
      <c r="B21" s="17">
        <v>11</v>
      </c>
      <c r="C21" s="13">
        <v>0.98499999999999999</v>
      </c>
      <c r="D21" s="105">
        <v>1.052</v>
      </c>
      <c r="E21" s="105">
        <v>1.3025</v>
      </c>
      <c r="F21" s="106"/>
      <c r="G21" s="17" t="s">
        <v>2</v>
      </c>
      <c r="H21" s="17">
        <v>11</v>
      </c>
      <c r="I21" s="105">
        <v>0.9325</v>
      </c>
      <c r="J21" s="105">
        <v>1.0820000000000001</v>
      </c>
      <c r="K21" s="105">
        <v>1.8033333333333299</v>
      </c>
      <c r="L21" s="106"/>
      <c r="M21" s="17" t="s">
        <v>707</v>
      </c>
      <c r="N21" s="17">
        <v>11</v>
      </c>
      <c r="O21" s="13">
        <v>2.0049999999999999</v>
      </c>
      <c r="P21" s="13">
        <v>1.92</v>
      </c>
      <c r="Q21" s="13">
        <v>1.8875</v>
      </c>
      <c r="R21" s="106"/>
      <c r="S21" s="17" t="s">
        <v>2</v>
      </c>
      <c r="T21" s="17">
        <v>11</v>
      </c>
      <c r="U21" s="105">
        <v>4.22</v>
      </c>
      <c r="V21" s="105">
        <v>4.13</v>
      </c>
      <c r="W21" s="105">
        <v>3.95</v>
      </c>
    </row>
    <row r="22" spans="1:23" s="9" customFormat="1" ht="14" x14ac:dyDescent="0.15">
      <c r="A22" s="17" t="s">
        <v>707</v>
      </c>
      <c r="B22" s="17">
        <v>12</v>
      </c>
      <c r="C22" s="13">
        <v>0.90500000000000003</v>
      </c>
      <c r="D22" s="105">
        <v>0.95</v>
      </c>
      <c r="E22" s="105">
        <v>1.0649999999999999</v>
      </c>
      <c r="F22" s="106"/>
      <c r="G22" s="17" t="s">
        <v>2</v>
      </c>
      <c r="H22" s="17">
        <v>12</v>
      </c>
      <c r="I22" s="105">
        <v>1.2024999999999999</v>
      </c>
      <c r="J22" s="105">
        <v>1.474</v>
      </c>
      <c r="K22" s="105">
        <v>2.3450000000000002</v>
      </c>
      <c r="L22" s="106"/>
      <c r="M22" s="17" t="s">
        <v>707</v>
      </c>
      <c r="N22" s="17">
        <v>12</v>
      </c>
      <c r="O22" s="13">
        <v>1.6975</v>
      </c>
      <c r="P22" s="13">
        <v>1.6339999999999999</v>
      </c>
      <c r="Q22" s="13">
        <v>1.6025</v>
      </c>
      <c r="R22" s="106"/>
      <c r="S22" s="17" t="s">
        <v>2</v>
      </c>
      <c r="T22" s="17">
        <v>12</v>
      </c>
      <c r="U22" s="105">
        <v>2.0449999999999999</v>
      </c>
      <c r="V22" s="105">
        <v>2.3439999999999999</v>
      </c>
      <c r="W22" s="105">
        <v>2.4550000000000001</v>
      </c>
    </row>
    <row r="23" spans="1:23" s="9" customFormat="1" ht="14" x14ac:dyDescent="0.15">
      <c r="A23" s="17" t="s">
        <v>707</v>
      </c>
      <c r="B23" s="17">
        <v>13</v>
      </c>
      <c r="C23" s="13">
        <v>0.96</v>
      </c>
      <c r="D23" s="105">
        <v>1.018</v>
      </c>
      <c r="E23" s="105">
        <v>1.2250000000000001</v>
      </c>
      <c r="F23" s="106"/>
      <c r="G23" s="17" t="s">
        <v>2</v>
      </c>
      <c r="H23" s="17">
        <v>13</v>
      </c>
      <c r="I23" s="105">
        <v>0.91249999999999998</v>
      </c>
      <c r="J23" s="105">
        <v>1.06</v>
      </c>
      <c r="K23" s="105">
        <v>1.5249999999999999</v>
      </c>
      <c r="L23" s="106"/>
      <c r="M23" s="17" t="s">
        <v>707</v>
      </c>
      <c r="N23" s="17">
        <v>13</v>
      </c>
      <c r="O23" s="13">
        <v>1.8174999999999999</v>
      </c>
      <c r="P23" s="13">
        <v>1.83</v>
      </c>
      <c r="Q23" s="13">
        <v>1.8149999999999999</v>
      </c>
      <c r="R23" s="106"/>
      <c r="S23" s="17" t="s">
        <v>2</v>
      </c>
      <c r="T23" s="17">
        <v>13</v>
      </c>
      <c r="U23" s="105">
        <v>3.2275</v>
      </c>
      <c r="V23" s="105">
        <v>3.1120000000000001</v>
      </c>
      <c r="W23" s="105">
        <v>2.9975000000000001</v>
      </c>
    </row>
    <row r="24" spans="1:23" s="9" customFormat="1" ht="14" x14ac:dyDescent="0.15">
      <c r="A24" s="17" t="s">
        <v>707</v>
      </c>
      <c r="B24" s="17">
        <v>14</v>
      </c>
      <c r="C24" s="13">
        <v>0.96</v>
      </c>
      <c r="D24" s="105">
        <v>1.018</v>
      </c>
      <c r="E24" s="105">
        <v>1.2250000000000001</v>
      </c>
      <c r="F24" s="106"/>
      <c r="G24" s="17" t="s">
        <v>2</v>
      </c>
      <c r="H24" s="17">
        <v>14</v>
      </c>
      <c r="I24" s="105">
        <v>0.97250000000000003</v>
      </c>
      <c r="J24" s="105">
        <v>1.0760000000000001</v>
      </c>
      <c r="K24" s="105">
        <v>1.79</v>
      </c>
      <c r="L24" s="106"/>
      <c r="M24" s="17" t="s">
        <v>707</v>
      </c>
      <c r="N24" s="17">
        <v>14</v>
      </c>
      <c r="O24" s="13">
        <v>1.8174999999999999</v>
      </c>
      <c r="P24" s="13">
        <v>1.83</v>
      </c>
      <c r="Q24" s="13">
        <v>1.8149999999999999</v>
      </c>
      <c r="R24" s="106"/>
      <c r="S24" s="17" t="s">
        <v>2</v>
      </c>
      <c r="T24" s="17">
        <v>14</v>
      </c>
      <c r="U24" s="105">
        <v>3.25</v>
      </c>
      <c r="V24" s="105">
        <v>3.1520000000000001</v>
      </c>
      <c r="W24" s="105">
        <v>3.0225</v>
      </c>
    </row>
    <row r="25" spans="1:23" s="9" customFormat="1" ht="14" x14ac:dyDescent="0.15">
      <c r="A25" s="17" t="s">
        <v>707</v>
      </c>
      <c r="B25" s="17">
        <v>15</v>
      </c>
      <c r="C25" s="13">
        <v>0.96750000000000003</v>
      </c>
      <c r="D25" s="105">
        <v>0.98799999999999999</v>
      </c>
      <c r="E25" s="105">
        <v>1.1225000000000001</v>
      </c>
      <c r="F25" s="106"/>
      <c r="G25" s="17" t="s">
        <v>2</v>
      </c>
      <c r="H25" s="17">
        <v>15</v>
      </c>
      <c r="I25" s="105">
        <v>0.99250000000000005</v>
      </c>
      <c r="J25" s="105">
        <v>1.1739999999999999</v>
      </c>
      <c r="K25" s="105">
        <v>1.8</v>
      </c>
      <c r="L25" s="106"/>
      <c r="M25" s="17" t="s">
        <v>707</v>
      </c>
      <c r="N25" s="17">
        <v>15</v>
      </c>
      <c r="O25" s="13">
        <v>1.51</v>
      </c>
      <c r="P25" s="13">
        <v>1.464</v>
      </c>
      <c r="Q25" s="13">
        <v>1.51</v>
      </c>
      <c r="R25" s="106"/>
      <c r="S25" s="17" t="s">
        <v>2</v>
      </c>
      <c r="T25" s="17">
        <v>15</v>
      </c>
      <c r="U25" s="105">
        <v>2.0219999999999998</v>
      </c>
      <c r="V25" s="105">
        <v>2.302</v>
      </c>
      <c r="W25" s="105">
        <v>3.43</v>
      </c>
    </row>
    <row r="26" spans="1:23" s="9" customFormat="1" ht="14" x14ac:dyDescent="0.15">
      <c r="A26" s="17" t="s">
        <v>708</v>
      </c>
      <c r="B26" s="17">
        <v>16</v>
      </c>
      <c r="C26" s="13">
        <v>0.96499999999999997</v>
      </c>
      <c r="D26" s="105">
        <v>1.05</v>
      </c>
      <c r="E26" s="105">
        <v>1.24</v>
      </c>
      <c r="F26" s="106"/>
      <c r="G26" s="17" t="s">
        <v>2</v>
      </c>
      <c r="H26" s="17">
        <v>16</v>
      </c>
      <c r="I26" s="105">
        <v>1.1875</v>
      </c>
      <c r="J26" s="105">
        <v>1.268</v>
      </c>
      <c r="K26" s="105">
        <v>1.3759999999999999</v>
      </c>
      <c r="L26" s="106"/>
      <c r="M26" s="17" t="s">
        <v>708</v>
      </c>
      <c r="N26" s="17">
        <v>16</v>
      </c>
      <c r="O26" s="13">
        <v>1.69</v>
      </c>
      <c r="P26" s="13">
        <v>1.6559999999999999</v>
      </c>
      <c r="Q26" s="13">
        <v>1.6419999999999999</v>
      </c>
      <c r="R26" s="106"/>
      <c r="S26" s="17" t="s">
        <v>2</v>
      </c>
      <c r="T26" s="17">
        <v>16</v>
      </c>
      <c r="U26" s="105">
        <v>2.2425000000000002</v>
      </c>
      <c r="V26" s="105">
        <v>2.1520000000000001</v>
      </c>
      <c r="W26" s="105">
        <v>1.98</v>
      </c>
    </row>
    <row r="27" spans="1:23" s="9" customFormat="1" ht="14" x14ac:dyDescent="0.15">
      <c r="A27" s="17" t="s">
        <v>708</v>
      </c>
      <c r="B27" s="17">
        <v>17</v>
      </c>
      <c r="C27" s="13">
        <v>0.96499999999999997</v>
      </c>
      <c r="D27" s="105">
        <v>0.99199999999999999</v>
      </c>
      <c r="E27" s="105">
        <v>1.2024999999999999</v>
      </c>
      <c r="F27" s="106"/>
      <c r="G27" s="17" t="s">
        <v>2</v>
      </c>
      <c r="H27" s="17">
        <v>17</v>
      </c>
      <c r="I27" s="105">
        <v>0.97499999999999998</v>
      </c>
      <c r="J27" s="105">
        <v>1.1372</v>
      </c>
      <c r="K27" s="105">
        <v>1.1779999999999999</v>
      </c>
      <c r="L27" s="106"/>
      <c r="M27" s="17" t="s">
        <v>708</v>
      </c>
      <c r="N27" s="17">
        <v>17</v>
      </c>
      <c r="O27" s="13">
        <v>1.7775000000000001</v>
      </c>
      <c r="P27" s="13">
        <v>1.73</v>
      </c>
      <c r="Q27" s="13">
        <v>1.6775</v>
      </c>
      <c r="R27" s="106"/>
      <c r="S27" s="17" t="s">
        <v>2</v>
      </c>
      <c r="T27" s="17">
        <v>17</v>
      </c>
      <c r="U27" s="105">
        <v>1.6850000000000001</v>
      </c>
      <c r="V27" s="105">
        <v>1.8919999999999999</v>
      </c>
      <c r="W27" s="105">
        <v>2.3220000000000001</v>
      </c>
    </row>
    <row r="28" spans="1:23" s="9" customFormat="1" ht="14" x14ac:dyDescent="0.15">
      <c r="A28" s="17" t="s">
        <v>708</v>
      </c>
      <c r="B28" s="17">
        <v>18</v>
      </c>
      <c r="C28" s="13">
        <v>0.95499999999999996</v>
      </c>
      <c r="D28" s="105">
        <v>1.018</v>
      </c>
      <c r="E28" s="105">
        <v>1.2825</v>
      </c>
      <c r="F28" s="106"/>
      <c r="G28" s="17" t="s">
        <v>2</v>
      </c>
      <c r="H28" s="17">
        <v>18</v>
      </c>
      <c r="I28" s="105">
        <v>1.4924999999999999</v>
      </c>
      <c r="J28" s="105">
        <v>1.6040000000000001</v>
      </c>
      <c r="K28" s="105">
        <v>1.86666666666667</v>
      </c>
      <c r="L28" s="106"/>
      <c r="M28" s="17" t="s">
        <v>708</v>
      </c>
      <c r="N28" s="17">
        <v>18</v>
      </c>
      <c r="O28" s="13">
        <v>2.2574999999999998</v>
      </c>
      <c r="P28" s="13">
        <v>2.13</v>
      </c>
      <c r="Q28" s="13">
        <v>1.9824999999999999</v>
      </c>
      <c r="R28" s="106"/>
      <c r="S28" s="17" t="s">
        <v>2</v>
      </c>
      <c r="T28" s="17">
        <v>18</v>
      </c>
      <c r="U28" s="105">
        <v>3.66</v>
      </c>
      <c r="V28" s="105">
        <v>3.6339999999999999</v>
      </c>
      <c r="W28" s="105">
        <v>3.5133333333333301</v>
      </c>
    </row>
    <row r="29" spans="1:23" s="9" customFormat="1" ht="14" x14ac:dyDescent="0.15">
      <c r="A29" s="17" t="s">
        <v>708</v>
      </c>
      <c r="B29" s="17">
        <v>19</v>
      </c>
      <c r="C29" s="13">
        <v>1.0649999999999999</v>
      </c>
      <c r="D29" s="105">
        <v>1.1180000000000001</v>
      </c>
      <c r="E29" s="105">
        <v>1.35</v>
      </c>
      <c r="F29" s="106"/>
      <c r="G29" s="17" t="s">
        <v>2</v>
      </c>
      <c r="H29" s="17">
        <v>19</v>
      </c>
      <c r="I29" s="105">
        <v>1.26</v>
      </c>
      <c r="J29" s="105">
        <v>1.4039999999999999</v>
      </c>
      <c r="K29" s="105">
        <v>1.79666666666667</v>
      </c>
      <c r="L29" s="106"/>
      <c r="M29" s="17" t="s">
        <v>708</v>
      </c>
      <c r="N29" s="17">
        <v>19</v>
      </c>
      <c r="O29" s="13">
        <v>1.98</v>
      </c>
      <c r="P29" s="13">
        <v>1.8839999999999999</v>
      </c>
      <c r="Q29" s="13">
        <v>1.7825</v>
      </c>
      <c r="R29" s="106"/>
      <c r="S29" s="17" t="s">
        <v>2</v>
      </c>
      <c r="T29" s="17">
        <v>19</v>
      </c>
      <c r="U29" s="105">
        <v>2.3039999999999998</v>
      </c>
      <c r="V29" s="105">
        <v>2.552</v>
      </c>
      <c r="W29" s="105">
        <v>2.8333333333333299</v>
      </c>
    </row>
    <row r="30" spans="1:23" s="9" customFormat="1" ht="14" x14ac:dyDescent="0.15">
      <c r="A30" s="17" t="s">
        <v>708</v>
      </c>
      <c r="B30" s="17">
        <v>20</v>
      </c>
      <c r="C30" s="13">
        <v>0.88249999999999995</v>
      </c>
      <c r="D30" s="105">
        <v>0.95199999999999996</v>
      </c>
      <c r="E30" s="105">
        <v>1.1775</v>
      </c>
      <c r="F30" s="106"/>
      <c r="G30" s="17" t="s">
        <v>2</v>
      </c>
      <c r="H30" s="17">
        <v>20</v>
      </c>
      <c r="I30" s="105">
        <v>1.7450000000000001</v>
      </c>
      <c r="J30" s="105">
        <v>1.9419999999999999</v>
      </c>
      <c r="K30" s="105">
        <v>2.1549999999999998</v>
      </c>
      <c r="L30" s="106"/>
      <c r="M30" s="17" t="s">
        <v>708</v>
      </c>
      <c r="N30" s="17">
        <v>20</v>
      </c>
      <c r="O30" s="13">
        <v>2.145</v>
      </c>
      <c r="P30" s="13">
        <v>2.0979999999999999</v>
      </c>
      <c r="Q30" s="13">
        <v>2.0649999999999999</v>
      </c>
      <c r="R30" s="106"/>
      <c r="S30" s="17" t="s">
        <v>2</v>
      </c>
      <c r="T30" s="17">
        <v>20</v>
      </c>
      <c r="U30" s="105">
        <v>3.8774999999999999</v>
      </c>
      <c r="V30" s="105">
        <v>3.6280000000000001</v>
      </c>
      <c r="W30" s="105">
        <v>3.2875000000000001</v>
      </c>
    </row>
    <row r="31" spans="1:23" s="9" customFormat="1" ht="14" x14ac:dyDescent="0.15">
      <c r="A31" s="17" t="s">
        <v>708</v>
      </c>
      <c r="B31" s="17">
        <v>21</v>
      </c>
      <c r="C31" s="13">
        <v>0.95</v>
      </c>
      <c r="D31" s="105">
        <v>1.04</v>
      </c>
      <c r="E31" s="105">
        <v>1.3049999999999999</v>
      </c>
      <c r="F31" s="106"/>
      <c r="G31" s="17" t="s">
        <v>2</v>
      </c>
      <c r="H31" s="17">
        <v>21</v>
      </c>
      <c r="I31" s="105">
        <v>1.2775000000000001</v>
      </c>
      <c r="J31" s="105">
        <v>1.522</v>
      </c>
      <c r="K31" s="105">
        <v>1.8825000000000001</v>
      </c>
      <c r="L31" s="106"/>
      <c r="M31" s="17" t="s">
        <v>708</v>
      </c>
      <c r="N31" s="17">
        <v>21</v>
      </c>
      <c r="O31" s="13">
        <v>1.9</v>
      </c>
      <c r="P31" s="13">
        <v>1.8240000000000001</v>
      </c>
      <c r="Q31" s="13">
        <v>1.8149999999999999</v>
      </c>
      <c r="R31" s="106"/>
      <c r="S31" s="17" t="s">
        <v>2</v>
      </c>
      <c r="T31" s="17">
        <v>21</v>
      </c>
      <c r="U31" s="105">
        <v>4.4024999999999999</v>
      </c>
      <c r="V31" s="105">
        <v>4.1260000000000003</v>
      </c>
      <c r="W31" s="105">
        <v>3.6949999999999998</v>
      </c>
    </row>
    <row r="32" spans="1:23" s="9" customFormat="1" ht="14" x14ac:dyDescent="0.15">
      <c r="A32" s="17" t="s">
        <v>708</v>
      </c>
      <c r="B32" s="17">
        <v>22</v>
      </c>
      <c r="C32" s="13">
        <v>0.92</v>
      </c>
      <c r="D32" s="105">
        <v>1.0900000000000001</v>
      </c>
      <c r="E32" s="105">
        <v>1.9975000000000001</v>
      </c>
      <c r="F32" s="106"/>
      <c r="G32" s="17" t="s">
        <v>2</v>
      </c>
      <c r="H32" s="17">
        <v>22</v>
      </c>
      <c r="I32" s="105">
        <v>1.1875</v>
      </c>
      <c r="J32" s="105">
        <v>1.512</v>
      </c>
      <c r="K32" s="105">
        <v>1.69</v>
      </c>
      <c r="L32" s="106"/>
      <c r="M32" s="17" t="s">
        <v>708</v>
      </c>
      <c r="N32" s="17">
        <v>22</v>
      </c>
      <c r="O32" s="13">
        <v>3.62</v>
      </c>
      <c r="P32" s="13">
        <v>3.5779999999999998</v>
      </c>
      <c r="Q32" s="13">
        <v>3.5525000000000002</v>
      </c>
      <c r="R32" s="106"/>
      <c r="S32" s="17" t="s">
        <v>2</v>
      </c>
      <c r="T32" s="17">
        <v>22</v>
      </c>
      <c r="U32" s="105">
        <v>3.94</v>
      </c>
      <c r="V32" s="105">
        <v>3.9460000000000002</v>
      </c>
      <c r="W32" s="105">
        <v>3.5640000000000001</v>
      </c>
    </row>
    <row r="33" spans="1:23" s="9" customFormat="1" ht="14" x14ac:dyDescent="0.15">
      <c r="A33" s="17" t="s">
        <v>708</v>
      </c>
      <c r="B33" s="17">
        <v>23</v>
      </c>
      <c r="C33" s="13">
        <v>1.0649999999999999</v>
      </c>
      <c r="D33" s="105">
        <v>1.1274999999999999</v>
      </c>
      <c r="E33" s="105">
        <v>1.4775</v>
      </c>
      <c r="F33" s="106"/>
      <c r="G33" s="17" t="s">
        <v>2</v>
      </c>
      <c r="H33" s="17">
        <v>23</v>
      </c>
      <c r="I33" s="105">
        <v>1.2675000000000001</v>
      </c>
      <c r="J33" s="105">
        <v>1.7</v>
      </c>
      <c r="K33" s="105">
        <v>2.23</v>
      </c>
      <c r="L33" s="106"/>
      <c r="M33" s="17" t="s">
        <v>708</v>
      </c>
      <c r="N33" s="17">
        <v>23</v>
      </c>
      <c r="O33" s="13">
        <v>2.1749999999999998</v>
      </c>
      <c r="P33" s="13">
        <v>2.1</v>
      </c>
      <c r="Q33" s="13">
        <v>1.9950000000000001</v>
      </c>
      <c r="R33" s="106"/>
      <c r="S33" s="17" t="s">
        <v>2</v>
      </c>
      <c r="T33" s="17">
        <v>23</v>
      </c>
      <c r="U33" s="105">
        <v>1.5820000000000001</v>
      </c>
      <c r="V33" s="105">
        <v>1.788</v>
      </c>
      <c r="W33" s="105">
        <v>2.0750000000000002</v>
      </c>
    </row>
    <row r="34" spans="1:23" s="9" customFormat="1" ht="14" x14ac:dyDescent="0.15">
      <c r="A34" s="17" t="s">
        <v>708</v>
      </c>
      <c r="B34" s="17">
        <v>24</v>
      </c>
      <c r="C34" s="13">
        <v>0.99</v>
      </c>
      <c r="D34" s="105">
        <v>1.0960000000000001</v>
      </c>
      <c r="E34" s="105">
        <v>1.5024999999999999</v>
      </c>
      <c r="F34" s="106"/>
      <c r="G34" s="17" t="s">
        <v>2</v>
      </c>
      <c r="H34" s="17">
        <v>24</v>
      </c>
      <c r="I34" s="105">
        <v>1.056</v>
      </c>
      <c r="J34" s="105">
        <v>1.1759999999999999</v>
      </c>
      <c r="K34" s="105">
        <v>1.23</v>
      </c>
      <c r="L34" s="106"/>
      <c r="M34" s="17" t="s">
        <v>708</v>
      </c>
      <c r="N34" s="17">
        <v>24</v>
      </c>
      <c r="O34" s="13">
        <v>2.6575000000000002</v>
      </c>
      <c r="P34" s="13">
        <v>2.6080000000000001</v>
      </c>
      <c r="Q34" s="13">
        <v>2.585</v>
      </c>
      <c r="R34" s="106"/>
      <c r="S34" s="17" t="s">
        <v>2</v>
      </c>
      <c r="T34" s="17">
        <v>24</v>
      </c>
      <c r="U34" s="105">
        <v>2.2875000000000001</v>
      </c>
      <c r="V34" s="105">
        <v>2.2959999999999998</v>
      </c>
      <c r="W34" s="105">
        <v>2.1419999999999999</v>
      </c>
    </row>
    <row r="35" spans="1:23" s="9" customFormat="1" ht="14" x14ac:dyDescent="0.15">
      <c r="A35" s="17" t="s">
        <v>708</v>
      </c>
      <c r="B35" s="17">
        <v>25</v>
      </c>
      <c r="C35" s="13">
        <v>0.93</v>
      </c>
      <c r="D35" s="105">
        <v>1.004</v>
      </c>
      <c r="E35" s="105">
        <v>1.1599999999999999</v>
      </c>
      <c r="F35" s="106"/>
      <c r="G35" s="17" t="s">
        <v>2</v>
      </c>
      <c r="H35" s="17">
        <v>25</v>
      </c>
      <c r="I35" s="105">
        <v>1.1325000000000001</v>
      </c>
      <c r="J35" s="105">
        <v>1.268</v>
      </c>
      <c r="K35" s="105">
        <v>1.5</v>
      </c>
      <c r="L35" s="106"/>
      <c r="M35" s="17" t="s">
        <v>708</v>
      </c>
      <c r="N35" s="17">
        <v>25</v>
      </c>
      <c r="O35" s="13">
        <v>1.8425</v>
      </c>
      <c r="P35" s="13">
        <v>1.8120000000000001</v>
      </c>
      <c r="Q35" s="13">
        <v>1.7575000000000001</v>
      </c>
      <c r="R35" s="106"/>
      <c r="S35" s="17" t="s">
        <v>2</v>
      </c>
      <c r="T35" s="17">
        <v>25</v>
      </c>
      <c r="U35" s="105">
        <v>3.7774999999999999</v>
      </c>
      <c r="V35" s="105">
        <v>3.7440000000000002</v>
      </c>
      <c r="W35" s="105">
        <v>3.4220000000000002</v>
      </c>
    </row>
    <row r="36" spans="1:23" s="9" customFormat="1" ht="14" x14ac:dyDescent="0.15">
      <c r="A36" s="17" t="s">
        <v>708</v>
      </c>
      <c r="B36" s="17">
        <v>26</v>
      </c>
      <c r="C36" s="13">
        <v>0.89249999999999996</v>
      </c>
      <c r="D36" s="105">
        <v>1.014</v>
      </c>
      <c r="E36" s="105">
        <v>1.79</v>
      </c>
      <c r="F36" s="106"/>
      <c r="G36" s="17" t="s">
        <v>2</v>
      </c>
      <c r="H36" s="17">
        <v>26</v>
      </c>
      <c r="I36" s="105">
        <v>0.77249999999999996</v>
      </c>
      <c r="J36" s="105">
        <v>0.98750000000000004</v>
      </c>
      <c r="K36" s="105">
        <v>1.002</v>
      </c>
      <c r="L36" s="106"/>
      <c r="M36" s="17" t="s">
        <v>708</v>
      </c>
      <c r="N36" s="17">
        <v>26</v>
      </c>
      <c r="O36" s="13">
        <v>2.6274999999999999</v>
      </c>
      <c r="P36" s="13">
        <v>3.0640000000000001</v>
      </c>
      <c r="Q36" s="13">
        <v>3.0750000000000002</v>
      </c>
      <c r="R36" s="106"/>
      <c r="S36" s="17" t="s">
        <v>2</v>
      </c>
      <c r="T36" s="17">
        <v>26</v>
      </c>
      <c r="U36" s="105">
        <v>1.9670000000000001</v>
      </c>
      <c r="V36" s="105">
        <v>2.165</v>
      </c>
      <c r="W36" s="105">
        <v>2.452</v>
      </c>
    </row>
    <row r="37" spans="1:23" s="9" customFormat="1" ht="14" x14ac:dyDescent="0.15">
      <c r="A37" s="17" t="s">
        <v>708</v>
      </c>
      <c r="B37" s="17">
        <v>27</v>
      </c>
      <c r="C37" s="13">
        <v>0.93</v>
      </c>
      <c r="D37" s="105">
        <v>1.08</v>
      </c>
      <c r="E37" s="105">
        <v>1.66</v>
      </c>
      <c r="F37" s="106"/>
      <c r="G37" s="17" t="s">
        <v>2</v>
      </c>
      <c r="H37" s="17">
        <v>27</v>
      </c>
      <c r="I37" s="105">
        <v>1.1299999999999999</v>
      </c>
      <c r="J37" s="105">
        <v>1.244</v>
      </c>
      <c r="K37" s="105">
        <v>1.4424999999999999</v>
      </c>
      <c r="L37" s="106"/>
      <c r="M37" s="17" t="s">
        <v>708</v>
      </c>
      <c r="N37" s="17">
        <v>27</v>
      </c>
      <c r="O37" s="13">
        <v>2.5049999999999999</v>
      </c>
      <c r="P37" s="13">
        <v>2.4900000000000002</v>
      </c>
      <c r="Q37" s="13">
        <v>2.5024999999999999</v>
      </c>
      <c r="R37" s="106"/>
      <c r="S37" s="17" t="s">
        <v>2</v>
      </c>
      <c r="T37" s="17">
        <v>27</v>
      </c>
      <c r="U37" s="105">
        <v>2.5674999999999999</v>
      </c>
      <c r="V37" s="105">
        <v>2.4580000000000002</v>
      </c>
      <c r="W37" s="105">
        <v>2.2925</v>
      </c>
    </row>
    <row r="38" spans="1:23" s="9" customFormat="1" ht="14" x14ac:dyDescent="0.15">
      <c r="A38" s="17" t="s">
        <v>708</v>
      </c>
      <c r="B38" s="17">
        <v>28</v>
      </c>
      <c r="C38" s="13">
        <v>1.1025</v>
      </c>
      <c r="D38" s="105">
        <v>1.1160000000000001</v>
      </c>
      <c r="E38" s="105">
        <v>1.4</v>
      </c>
      <c r="F38" s="106"/>
      <c r="G38" s="17" t="s">
        <v>2</v>
      </c>
      <c r="H38" s="17">
        <v>28</v>
      </c>
      <c r="I38" s="105">
        <v>1.21333333333333</v>
      </c>
      <c r="J38" s="105">
        <v>1.3080000000000001</v>
      </c>
      <c r="K38" s="105">
        <v>1.518</v>
      </c>
      <c r="L38" s="106"/>
      <c r="M38" s="17" t="s">
        <v>708</v>
      </c>
      <c r="N38" s="17">
        <v>28</v>
      </c>
      <c r="O38" s="13">
        <v>2.0049999999999999</v>
      </c>
      <c r="P38" s="13">
        <v>1.9139999999999999</v>
      </c>
      <c r="Q38" s="13">
        <v>1.8225</v>
      </c>
      <c r="R38" s="106"/>
      <c r="S38" s="17" t="s">
        <v>2</v>
      </c>
      <c r="T38" s="17">
        <v>28</v>
      </c>
      <c r="U38" s="105">
        <v>2.36</v>
      </c>
      <c r="V38" s="105">
        <v>2.34</v>
      </c>
      <c r="W38" s="105">
        <v>2.242</v>
      </c>
    </row>
    <row r="39" spans="1:23" s="9" customFormat="1" ht="14" x14ac:dyDescent="0.15">
      <c r="A39" s="17" t="s">
        <v>708</v>
      </c>
      <c r="B39" s="17">
        <v>29</v>
      </c>
      <c r="C39" s="13">
        <v>0.87749999999999995</v>
      </c>
      <c r="D39" s="105">
        <v>1.042</v>
      </c>
      <c r="E39" s="105">
        <v>1.2124999999999999</v>
      </c>
      <c r="F39" s="106"/>
      <c r="G39" s="17" t="s">
        <v>2</v>
      </c>
      <c r="H39" s="17">
        <v>29</v>
      </c>
      <c r="I39" s="105">
        <v>1.2066666666666701</v>
      </c>
      <c r="J39" s="105">
        <v>1.3080000000000001</v>
      </c>
      <c r="K39" s="105">
        <v>1.5425</v>
      </c>
      <c r="L39" s="106"/>
      <c r="M39" s="17" t="s">
        <v>708</v>
      </c>
      <c r="N39" s="17">
        <v>29</v>
      </c>
      <c r="O39" s="13">
        <v>1.9850000000000001</v>
      </c>
      <c r="P39" s="13">
        <v>2.1760000000000002</v>
      </c>
      <c r="Q39" s="13">
        <v>2.0049999999999999</v>
      </c>
      <c r="R39" s="106"/>
      <c r="S39" s="17" t="s">
        <v>2</v>
      </c>
      <c r="T39" s="17">
        <v>29</v>
      </c>
      <c r="U39" s="105">
        <v>2.35</v>
      </c>
      <c r="V39" s="105">
        <v>2.3380000000000001</v>
      </c>
      <c r="W39" s="105">
        <v>2.2400000000000002</v>
      </c>
    </row>
    <row r="40" spans="1:23" s="9" customFormat="1" ht="14" x14ac:dyDescent="0.15">
      <c r="G40" s="17" t="s">
        <v>2</v>
      </c>
      <c r="H40" s="17">
        <v>30</v>
      </c>
      <c r="I40" s="105">
        <v>1.2166666666666699</v>
      </c>
      <c r="J40" s="105">
        <v>1.25</v>
      </c>
      <c r="K40" s="105">
        <v>1.3560000000000001</v>
      </c>
      <c r="L40" s="106"/>
      <c r="R40" s="42"/>
      <c r="S40" s="17" t="s">
        <v>2</v>
      </c>
      <c r="T40" s="17">
        <v>30</v>
      </c>
      <c r="U40" s="105">
        <v>1.86666666666667</v>
      </c>
      <c r="V40" s="105">
        <v>1.764</v>
      </c>
      <c r="W40" s="105">
        <v>1.706</v>
      </c>
    </row>
    <row r="41" spans="1:23" s="9" customFormat="1" ht="14" x14ac:dyDescent="0.15">
      <c r="D41" s="102"/>
      <c r="G41" s="17" t="s">
        <v>3</v>
      </c>
      <c r="H41" s="17">
        <v>31</v>
      </c>
      <c r="I41" s="105">
        <v>1.44</v>
      </c>
      <c r="J41" s="105">
        <v>1.488</v>
      </c>
      <c r="K41" s="105">
        <v>2.1819999999999999</v>
      </c>
      <c r="L41" s="106"/>
      <c r="R41" s="42"/>
      <c r="S41" s="17" t="s">
        <v>3</v>
      </c>
      <c r="T41" s="17">
        <v>31</v>
      </c>
      <c r="U41" s="105">
        <v>3.0575000000000001</v>
      </c>
      <c r="V41" s="105">
        <v>2.944</v>
      </c>
      <c r="W41" s="105">
        <v>3.036</v>
      </c>
    </row>
    <row r="42" spans="1:23" s="9" customFormat="1" ht="14" x14ac:dyDescent="0.15">
      <c r="G42" s="17" t="s">
        <v>3</v>
      </c>
      <c r="H42" s="17">
        <v>32</v>
      </c>
      <c r="I42" s="105">
        <v>1.69333333333333</v>
      </c>
      <c r="J42" s="105">
        <v>1.86</v>
      </c>
      <c r="K42" s="105">
        <v>2.7149999999999999</v>
      </c>
      <c r="L42" s="106"/>
      <c r="R42" s="42"/>
      <c r="S42" s="17" t="s">
        <v>3</v>
      </c>
      <c r="T42" s="17">
        <v>32</v>
      </c>
      <c r="U42" s="105">
        <v>3.13</v>
      </c>
      <c r="V42" s="105">
        <v>3.1259999999999999</v>
      </c>
      <c r="W42" s="105">
        <v>3.4624999999999999</v>
      </c>
    </row>
    <row r="43" spans="1:23" s="9" customFormat="1" ht="14" x14ac:dyDescent="0.15">
      <c r="G43" s="17" t="s">
        <v>3</v>
      </c>
      <c r="H43" s="17">
        <v>33</v>
      </c>
      <c r="I43" s="105">
        <v>1.3674999999999999</v>
      </c>
      <c r="J43" s="105">
        <v>1.6279999999999999</v>
      </c>
      <c r="K43" s="105">
        <v>2.0649999999999999</v>
      </c>
      <c r="L43" s="106"/>
      <c r="R43" s="42"/>
      <c r="S43" s="17" t="s">
        <v>3</v>
      </c>
      <c r="T43" s="17">
        <v>33</v>
      </c>
      <c r="U43" s="105">
        <v>1.778</v>
      </c>
      <c r="V43" s="105">
        <v>2.1040000000000001</v>
      </c>
      <c r="W43" s="105">
        <v>2.3439999999999999</v>
      </c>
    </row>
    <row r="44" spans="1:23" s="9" customFormat="1" ht="14" x14ac:dyDescent="0.15">
      <c r="G44" s="17" t="s">
        <v>3</v>
      </c>
      <c r="H44" s="17">
        <v>34</v>
      </c>
      <c r="I44" s="105">
        <v>1.0166666666666699</v>
      </c>
      <c r="J44" s="105">
        <v>1.1775</v>
      </c>
      <c r="K44" s="105">
        <v>1.3440000000000001</v>
      </c>
      <c r="L44" s="106"/>
      <c r="R44" s="42"/>
      <c r="S44" s="17" t="s">
        <v>3</v>
      </c>
      <c r="T44" s="17">
        <v>34</v>
      </c>
      <c r="U44" s="105">
        <v>1.675</v>
      </c>
      <c r="V44" s="105">
        <v>1.8240000000000001</v>
      </c>
      <c r="W44" s="105">
        <v>2.0750000000000002</v>
      </c>
    </row>
    <row r="45" spans="1:23" s="9" customFormat="1" ht="14" x14ac:dyDescent="0.15">
      <c r="G45" s="17" t="s">
        <v>3</v>
      </c>
      <c r="H45" s="17">
        <v>35</v>
      </c>
      <c r="I45" s="105">
        <v>1.34</v>
      </c>
      <c r="J45" s="105">
        <v>1.4079999999999999</v>
      </c>
      <c r="K45" s="105">
        <v>1.9450000000000001</v>
      </c>
      <c r="L45" s="106"/>
      <c r="R45" s="42"/>
      <c r="S45" s="17" t="s">
        <v>3</v>
      </c>
      <c r="T45" s="17">
        <v>35</v>
      </c>
      <c r="U45" s="105">
        <v>3.91333333333333</v>
      </c>
      <c r="V45" s="105">
        <v>3.8340000000000001</v>
      </c>
      <c r="W45" s="105">
        <v>3.6949999999999998</v>
      </c>
    </row>
    <row r="46" spans="1:23" s="9" customFormat="1" ht="14" x14ac:dyDescent="0.15">
      <c r="G46" s="17" t="s">
        <v>3</v>
      </c>
      <c r="H46" s="17">
        <v>36</v>
      </c>
      <c r="I46" s="105">
        <v>1.05</v>
      </c>
      <c r="J46" s="105">
        <v>1.1359999999999999</v>
      </c>
      <c r="K46" s="105">
        <v>1.6679999999999999</v>
      </c>
      <c r="L46" s="106"/>
      <c r="R46" s="42"/>
      <c r="S46" s="17" t="s">
        <v>3</v>
      </c>
      <c r="T46" s="17">
        <v>36</v>
      </c>
      <c r="U46" s="105">
        <v>2.5533333333333301</v>
      </c>
      <c r="V46" s="105">
        <v>2.4900000000000002</v>
      </c>
      <c r="W46" s="105">
        <v>2.41</v>
      </c>
    </row>
    <row r="47" spans="1:23" s="9" customFormat="1" ht="14" x14ac:dyDescent="0.15">
      <c r="G47" s="17" t="s">
        <v>3</v>
      </c>
      <c r="H47" s="17">
        <v>37</v>
      </c>
      <c r="I47" s="105">
        <v>1.06666666666667</v>
      </c>
      <c r="J47" s="105">
        <v>1.1499999999999999</v>
      </c>
      <c r="K47" s="105">
        <v>1.5349999999999999</v>
      </c>
      <c r="L47" s="106"/>
      <c r="R47" s="42"/>
      <c r="S47" s="17" t="s">
        <v>3</v>
      </c>
      <c r="T47" s="17">
        <v>37</v>
      </c>
      <c r="U47" s="105">
        <v>2.95</v>
      </c>
      <c r="V47" s="105">
        <v>2.96</v>
      </c>
      <c r="W47" s="105">
        <v>2.8275000000000001</v>
      </c>
    </row>
    <row r="48" spans="1:23" s="9" customFormat="1" ht="14" x14ac:dyDescent="0.15">
      <c r="G48" s="17" t="s">
        <v>3</v>
      </c>
      <c r="H48" s="17">
        <v>38</v>
      </c>
      <c r="I48" s="105">
        <v>1.5066666666666699</v>
      </c>
      <c r="J48" s="105">
        <v>1.702</v>
      </c>
      <c r="K48" s="105">
        <v>1.8620000000000001</v>
      </c>
      <c r="L48" s="106"/>
      <c r="R48" s="42"/>
      <c r="S48" s="17" t="s">
        <v>3</v>
      </c>
      <c r="T48" s="17">
        <v>38</v>
      </c>
      <c r="U48" s="105">
        <v>1.8740000000000001</v>
      </c>
      <c r="V48" s="105">
        <v>2.0339999999999998</v>
      </c>
      <c r="W48" s="105">
        <v>2.2250000000000001</v>
      </c>
    </row>
    <row r="49" spans="7:23" s="9" customFormat="1" ht="14" x14ac:dyDescent="0.15">
      <c r="G49" s="17" t="s">
        <v>3</v>
      </c>
      <c r="H49" s="17">
        <v>39</v>
      </c>
      <c r="I49" s="105">
        <v>1.0325</v>
      </c>
      <c r="J49" s="105">
        <v>1.0640000000000001</v>
      </c>
      <c r="K49" s="105">
        <v>1.5</v>
      </c>
      <c r="L49" s="106"/>
      <c r="R49" s="42"/>
      <c r="S49" s="17" t="s">
        <v>3</v>
      </c>
      <c r="T49" s="17">
        <v>39</v>
      </c>
      <c r="U49" s="105">
        <v>2.8424999999999998</v>
      </c>
      <c r="V49" s="105">
        <v>2.742</v>
      </c>
      <c r="W49" s="105">
        <v>2.6579999999999999</v>
      </c>
    </row>
    <row r="50" spans="7:23" s="9" customFormat="1" ht="14" x14ac:dyDescent="0.15">
      <c r="G50" s="17" t="s">
        <v>3</v>
      </c>
      <c r="H50" s="17">
        <v>40</v>
      </c>
      <c r="I50" s="105">
        <v>1.03</v>
      </c>
      <c r="J50" s="105">
        <v>1.105</v>
      </c>
      <c r="K50" s="105">
        <v>1.43</v>
      </c>
      <c r="L50" s="106"/>
      <c r="R50" s="42"/>
      <c r="S50" s="17" t="s">
        <v>3</v>
      </c>
      <c r="T50" s="17">
        <v>40</v>
      </c>
      <c r="U50" s="105">
        <v>2.0950000000000002</v>
      </c>
      <c r="V50" s="105">
        <v>2.105</v>
      </c>
      <c r="W50" s="105">
        <v>2.04</v>
      </c>
    </row>
    <row r="51" spans="7:23" s="9" customFormat="1" ht="14" x14ac:dyDescent="0.15">
      <c r="G51" s="17" t="s">
        <v>3</v>
      </c>
      <c r="H51" s="17">
        <v>41</v>
      </c>
      <c r="I51" s="105">
        <v>1.0325</v>
      </c>
      <c r="J51" s="105">
        <v>1.034</v>
      </c>
      <c r="K51" s="105">
        <v>1.044</v>
      </c>
      <c r="L51" s="106"/>
      <c r="R51" s="42"/>
      <c r="S51" s="17" t="s">
        <v>3</v>
      </c>
      <c r="T51" s="17">
        <v>41</v>
      </c>
      <c r="U51" s="105">
        <v>2.0299999999999998</v>
      </c>
      <c r="V51" s="105">
        <v>1.974</v>
      </c>
      <c r="W51" s="105">
        <v>1.84</v>
      </c>
    </row>
    <row r="52" spans="7:23" s="9" customFormat="1" ht="14" x14ac:dyDescent="0.15">
      <c r="G52" s="17" t="s">
        <v>3</v>
      </c>
      <c r="H52" s="17">
        <v>42</v>
      </c>
      <c r="I52" s="105">
        <v>1.0275000000000001</v>
      </c>
      <c r="J52" s="105">
        <v>1.264</v>
      </c>
      <c r="K52" s="105">
        <v>1.542</v>
      </c>
      <c r="L52" s="106"/>
      <c r="R52" s="42"/>
      <c r="S52" s="17" t="s">
        <v>3</v>
      </c>
      <c r="T52" s="17">
        <v>42</v>
      </c>
      <c r="U52" s="105">
        <v>1.7549999999999999</v>
      </c>
      <c r="V52" s="105">
        <v>2.1520000000000001</v>
      </c>
      <c r="W52" s="105">
        <v>2.36</v>
      </c>
    </row>
    <row r="53" spans="7:23" s="9" customFormat="1" ht="14" x14ac:dyDescent="0.15">
      <c r="G53" s="17" t="s">
        <v>3</v>
      </c>
      <c r="H53" s="17">
        <v>43</v>
      </c>
      <c r="I53" s="105">
        <v>1.0325</v>
      </c>
      <c r="J53" s="105">
        <v>1.0640000000000001</v>
      </c>
      <c r="K53" s="105">
        <v>1.2849999999999999</v>
      </c>
      <c r="L53" s="106"/>
      <c r="R53" s="42"/>
      <c r="S53" s="17" t="s">
        <v>3</v>
      </c>
      <c r="T53" s="17">
        <v>43</v>
      </c>
      <c r="U53" s="105">
        <v>1.825</v>
      </c>
      <c r="V53" s="105">
        <v>1.8280000000000001</v>
      </c>
      <c r="W53" s="105">
        <v>1.7424999999999999</v>
      </c>
    </row>
    <row r="54" spans="7:23" s="9" customFormat="1" ht="14" x14ac:dyDescent="0.15">
      <c r="G54" s="17" t="s">
        <v>3</v>
      </c>
      <c r="H54" s="17">
        <v>44</v>
      </c>
      <c r="I54" s="105">
        <v>0.93</v>
      </c>
      <c r="J54" s="105">
        <v>0.93600000000000005</v>
      </c>
      <c r="K54" s="105">
        <v>1.022</v>
      </c>
      <c r="L54" s="106"/>
      <c r="R54" s="42"/>
      <c r="S54" s="17" t="s">
        <v>3</v>
      </c>
      <c r="T54" s="17">
        <v>44</v>
      </c>
      <c r="U54" s="105">
        <v>2.13</v>
      </c>
      <c r="V54" s="105">
        <v>2.1080000000000001</v>
      </c>
      <c r="W54" s="105">
        <v>1.3374999999999999</v>
      </c>
    </row>
    <row r="55" spans="7:23" s="9" customFormat="1" ht="14" x14ac:dyDescent="0.15">
      <c r="G55" s="17" t="s">
        <v>3</v>
      </c>
      <c r="H55" s="17">
        <v>45</v>
      </c>
      <c r="I55" s="105">
        <v>0.97</v>
      </c>
      <c r="J55" s="105">
        <v>1.038</v>
      </c>
      <c r="K55" s="105">
        <v>1.44</v>
      </c>
      <c r="L55" s="106"/>
      <c r="R55" s="42"/>
      <c r="S55" s="17" t="s">
        <v>3</v>
      </c>
      <c r="T55" s="17">
        <v>45</v>
      </c>
      <c r="U55" s="105">
        <v>2.5019999999999998</v>
      </c>
      <c r="V55" s="105">
        <v>2.718</v>
      </c>
      <c r="W55" s="105">
        <v>2.99</v>
      </c>
    </row>
    <row r="56" spans="7:23" s="9" customFormat="1" ht="14" x14ac:dyDescent="0.15">
      <c r="G56" s="17" t="s">
        <v>3</v>
      </c>
      <c r="H56" s="17">
        <v>46</v>
      </c>
      <c r="I56" s="105">
        <v>0.995</v>
      </c>
      <c r="J56" s="105">
        <v>1.034</v>
      </c>
      <c r="K56" s="105">
        <v>1.3033333333333299</v>
      </c>
      <c r="L56" s="106"/>
      <c r="R56" s="42"/>
      <c r="S56" s="17" t="s">
        <v>3</v>
      </c>
      <c r="T56" s="17">
        <v>46</v>
      </c>
      <c r="U56" s="105">
        <v>4.3975</v>
      </c>
      <c r="V56" s="105">
        <v>4.3860000000000001</v>
      </c>
      <c r="W56" s="105">
        <v>3.83</v>
      </c>
    </row>
    <row r="57" spans="7:23" s="9" customFormat="1" ht="14" x14ac:dyDescent="0.15">
      <c r="G57" s="17" t="s">
        <v>3</v>
      </c>
      <c r="H57" s="17">
        <v>47</v>
      </c>
      <c r="I57" s="105">
        <v>0.92</v>
      </c>
      <c r="J57" s="105">
        <v>1.01</v>
      </c>
      <c r="K57" s="105">
        <v>1.2766666666666699</v>
      </c>
      <c r="L57" s="106"/>
      <c r="R57" s="42"/>
      <c r="S57" s="17" t="s">
        <v>3</v>
      </c>
      <c r="T57" s="17">
        <v>47</v>
      </c>
      <c r="U57" s="105">
        <v>3.73</v>
      </c>
      <c r="V57" s="105">
        <v>3.5859999999999999</v>
      </c>
      <c r="W57" s="105">
        <v>3.2133333333333298</v>
      </c>
    </row>
    <row r="58" spans="7:23" s="9" customFormat="1" ht="14" x14ac:dyDescent="0.15">
      <c r="G58" s="17" t="s">
        <v>3</v>
      </c>
      <c r="H58" s="17">
        <v>48</v>
      </c>
      <c r="I58" s="105">
        <v>1.355</v>
      </c>
      <c r="J58" s="105">
        <v>1.53</v>
      </c>
      <c r="K58" s="105">
        <v>1.6220000000000001</v>
      </c>
      <c r="L58" s="106"/>
      <c r="R58" s="42"/>
      <c r="S58" s="17" t="s">
        <v>3</v>
      </c>
      <c r="T58" s="17">
        <v>48</v>
      </c>
      <c r="U58" s="105">
        <v>1.2749999999999999</v>
      </c>
      <c r="V58" s="105">
        <v>1.4670000000000001</v>
      </c>
      <c r="W58" s="105">
        <v>1.7849999999999999</v>
      </c>
    </row>
    <row r="59" spans="7:23" s="9" customFormat="1" ht="14" x14ac:dyDescent="0.15">
      <c r="G59" s="17" t="s">
        <v>3</v>
      </c>
      <c r="H59" s="17">
        <v>49</v>
      </c>
      <c r="I59" s="105">
        <v>1.0125</v>
      </c>
      <c r="J59" s="105">
        <v>1.212</v>
      </c>
      <c r="K59" s="105">
        <v>1.46</v>
      </c>
      <c r="L59" s="106"/>
      <c r="R59" s="42"/>
      <c r="S59" s="17" t="s">
        <v>3</v>
      </c>
      <c r="T59" s="17">
        <v>49</v>
      </c>
      <c r="U59" s="105">
        <v>1.8919999999999999</v>
      </c>
      <c r="V59" s="105">
        <v>1.9750000000000001</v>
      </c>
      <c r="W59" s="105">
        <v>2.2833333333333301</v>
      </c>
    </row>
    <row r="60" spans="7:23" s="9" customFormat="1" ht="14" x14ac:dyDescent="0.15">
      <c r="G60" s="17" t="s">
        <v>3</v>
      </c>
      <c r="H60" s="17">
        <v>50</v>
      </c>
      <c r="I60" s="105">
        <v>0.97250000000000003</v>
      </c>
      <c r="J60" s="105">
        <v>1.3380000000000001</v>
      </c>
      <c r="K60" s="105">
        <v>1.45333333333333</v>
      </c>
      <c r="L60" s="106"/>
      <c r="R60" s="42"/>
      <c r="S60" s="17" t="s">
        <v>3</v>
      </c>
      <c r="T60" s="17">
        <v>50</v>
      </c>
      <c r="U60" s="105">
        <v>1.544</v>
      </c>
      <c r="V60" s="105">
        <v>1.6020000000000001</v>
      </c>
      <c r="W60" s="105">
        <v>1.992</v>
      </c>
    </row>
    <row r="61" spans="7:23" s="9" customFormat="1" ht="14" x14ac:dyDescent="0.15">
      <c r="G61" s="17" t="s">
        <v>3</v>
      </c>
      <c r="H61" s="17">
        <v>51</v>
      </c>
      <c r="I61" s="105">
        <v>1.08</v>
      </c>
      <c r="J61" s="105">
        <v>1.2</v>
      </c>
      <c r="K61" s="105">
        <v>1.3674999999999999</v>
      </c>
      <c r="L61" s="106"/>
      <c r="R61" s="42"/>
      <c r="S61" s="17" t="s">
        <v>3</v>
      </c>
      <c r="T61" s="17">
        <v>51</v>
      </c>
      <c r="U61" s="105">
        <v>3.835</v>
      </c>
      <c r="V61" s="105">
        <v>3.806</v>
      </c>
      <c r="W61" s="105">
        <v>3.6924999999999999</v>
      </c>
    </row>
    <row r="62" spans="7:23" s="9" customFormat="1" ht="14" x14ac:dyDescent="0.15">
      <c r="G62" s="17" t="s">
        <v>3</v>
      </c>
      <c r="H62" s="17">
        <v>52</v>
      </c>
      <c r="I62" s="105">
        <v>0.78</v>
      </c>
      <c r="J62" s="105">
        <v>1.1439999999999999</v>
      </c>
      <c r="K62" s="105">
        <v>1.302</v>
      </c>
      <c r="L62" s="106"/>
      <c r="R62" s="42"/>
      <c r="S62" s="17" t="s">
        <v>3</v>
      </c>
      <c r="T62" s="17">
        <v>52</v>
      </c>
      <c r="U62" s="105">
        <v>1.0449999999999999</v>
      </c>
      <c r="V62" s="105">
        <v>1.2749999999999999</v>
      </c>
      <c r="W62" s="105">
        <v>1.6850000000000001</v>
      </c>
    </row>
    <row r="63" spans="7:23" s="9" customFormat="1" ht="14" x14ac:dyDescent="0.15">
      <c r="G63" s="17" t="s">
        <v>3</v>
      </c>
      <c r="H63" s="17">
        <v>53</v>
      </c>
      <c r="I63" s="105">
        <v>1.0925</v>
      </c>
      <c r="J63" s="105">
        <v>1.202</v>
      </c>
      <c r="K63" s="105">
        <v>1.36333333333333</v>
      </c>
      <c r="L63" s="106"/>
      <c r="R63" s="42"/>
      <c r="S63" s="17" t="s">
        <v>3</v>
      </c>
      <c r="T63" s="17">
        <v>53</v>
      </c>
      <c r="U63" s="105">
        <v>3.2925</v>
      </c>
      <c r="V63" s="105">
        <v>3.3740000000000001</v>
      </c>
      <c r="W63" s="105">
        <v>3.18</v>
      </c>
    </row>
    <row r="64" spans="7:23" s="9" customFormat="1" ht="14" x14ac:dyDescent="0.15">
      <c r="G64" s="17" t="s">
        <v>3</v>
      </c>
      <c r="H64" s="17">
        <v>54</v>
      </c>
      <c r="I64" s="105">
        <v>1.0925</v>
      </c>
      <c r="J64" s="105">
        <v>1.202</v>
      </c>
      <c r="K64" s="105">
        <v>1.86333333333333</v>
      </c>
      <c r="L64" s="106"/>
      <c r="R64" s="42"/>
      <c r="S64" s="17" t="s">
        <v>3</v>
      </c>
      <c r="T64" s="17">
        <v>54</v>
      </c>
      <c r="U64" s="105">
        <v>3.2925</v>
      </c>
      <c r="V64" s="105">
        <v>3.3740000000000001</v>
      </c>
      <c r="W64" s="105">
        <v>3.18</v>
      </c>
    </row>
    <row r="65" spans="7:23" s="9" customFormat="1" ht="14" x14ac:dyDescent="0.15">
      <c r="G65" s="17" t="s">
        <v>3</v>
      </c>
      <c r="H65" s="17">
        <v>55</v>
      </c>
      <c r="I65" s="105">
        <v>1.0275000000000001</v>
      </c>
      <c r="J65" s="105">
        <v>1.1359999999999999</v>
      </c>
      <c r="K65" s="105">
        <v>1.34</v>
      </c>
      <c r="L65" s="106"/>
      <c r="R65" s="42"/>
      <c r="S65" s="17" t="s">
        <v>3</v>
      </c>
      <c r="T65" s="17">
        <v>55</v>
      </c>
      <c r="U65" s="105">
        <v>3.6175000000000002</v>
      </c>
      <c r="V65" s="105">
        <v>3.55</v>
      </c>
      <c r="W65" s="105">
        <v>3.18</v>
      </c>
    </row>
    <row r="66" spans="7:23" s="9" customFormat="1" ht="14" x14ac:dyDescent="0.15">
      <c r="G66" s="17" t="s">
        <v>3</v>
      </c>
      <c r="H66" s="17">
        <v>56</v>
      </c>
      <c r="I66" s="105">
        <v>1.0475000000000001</v>
      </c>
      <c r="J66" s="105">
        <v>1.1439999999999999</v>
      </c>
      <c r="K66" s="105">
        <v>1.8</v>
      </c>
      <c r="L66" s="106"/>
      <c r="R66" s="42"/>
      <c r="S66" s="17" t="s">
        <v>3</v>
      </c>
      <c r="T66" s="17">
        <v>56</v>
      </c>
      <c r="U66" s="105">
        <v>2.33</v>
      </c>
      <c r="V66" s="105">
        <v>3.36</v>
      </c>
      <c r="W66" s="105">
        <v>3.0649999999999999</v>
      </c>
    </row>
    <row r="67" spans="7:23" s="9" customFormat="1" ht="14" x14ac:dyDescent="0.15">
      <c r="G67" s="17" t="s">
        <v>3</v>
      </c>
      <c r="H67" s="17">
        <v>57</v>
      </c>
      <c r="I67" s="105">
        <v>0.97250000000000003</v>
      </c>
      <c r="J67" s="105">
        <v>1.026</v>
      </c>
      <c r="K67" s="105">
        <v>1.4166666666666701</v>
      </c>
      <c r="L67" s="106"/>
      <c r="R67" s="42"/>
      <c r="S67" s="17" t="s">
        <v>3</v>
      </c>
      <c r="T67" s="17">
        <v>57</v>
      </c>
      <c r="U67" s="105">
        <v>1.8425</v>
      </c>
      <c r="V67" s="105">
        <v>2.798</v>
      </c>
      <c r="W67" s="105">
        <v>2.6166666666666698</v>
      </c>
    </row>
    <row r="68" spans="7:23" s="9" customFormat="1" ht="14" x14ac:dyDescent="0.15">
      <c r="G68" s="17" t="s">
        <v>3</v>
      </c>
      <c r="H68" s="17">
        <v>58</v>
      </c>
      <c r="I68" s="105">
        <v>1.0024999999999999</v>
      </c>
      <c r="J68" s="105">
        <v>1.236</v>
      </c>
      <c r="K68" s="105">
        <v>1.4975000000000001</v>
      </c>
      <c r="L68" s="106"/>
      <c r="R68" s="42"/>
      <c r="S68" s="17" t="s">
        <v>3</v>
      </c>
      <c r="T68" s="17">
        <v>58</v>
      </c>
      <c r="U68" s="105">
        <v>1.7450000000000001</v>
      </c>
      <c r="V68" s="105">
        <v>2.0539999999999998</v>
      </c>
      <c r="W68" s="105">
        <v>2.31</v>
      </c>
    </row>
    <row r="69" spans="7:23" s="9" customFormat="1" ht="14" x14ac:dyDescent="0.15">
      <c r="G69" s="17" t="s">
        <v>3</v>
      </c>
      <c r="H69" s="17">
        <v>59</v>
      </c>
      <c r="I69" s="105">
        <v>1.0349999999999999</v>
      </c>
      <c r="J69" s="105">
        <v>1.0940000000000001</v>
      </c>
      <c r="K69" s="105">
        <v>1.38</v>
      </c>
      <c r="L69" s="106"/>
      <c r="R69" s="42"/>
      <c r="S69" s="17" t="s">
        <v>3</v>
      </c>
      <c r="T69" s="17">
        <v>59</v>
      </c>
      <c r="U69" s="105">
        <v>2.02</v>
      </c>
      <c r="V69" s="105">
        <v>2.0499999999999998</v>
      </c>
      <c r="W69" s="105">
        <v>1.9466666666666701</v>
      </c>
    </row>
    <row r="70" spans="7:23" s="9" customFormat="1" ht="14" x14ac:dyDescent="0.15">
      <c r="G70" s="17" t="s">
        <v>3</v>
      </c>
      <c r="H70" s="17">
        <v>60</v>
      </c>
      <c r="I70" s="105">
        <v>1.0049999999999999</v>
      </c>
      <c r="J70" s="105">
        <v>1.0580000000000001</v>
      </c>
      <c r="K70" s="105">
        <v>1.6766666666666701</v>
      </c>
      <c r="L70" s="106"/>
      <c r="R70" s="42"/>
      <c r="S70" s="17" t="s">
        <v>3</v>
      </c>
      <c r="T70" s="17">
        <v>60</v>
      </c>
      <c r="U70" s="105">
        <v>3.6274999999999999</v>
      </c>
      <c r="V70" s="105">
        <v>3.6139999999999999</v>
      </c>
      <c r="W70" s="105">
        <v>3.51</v>
      </c>
    </row>
    <row r="71" spans="7:23" s="9" customFormat="1" ht="14" x14ac:dyDescent="0.15">
      <c r="G71" s="17" t="s">
        <v>4</v>
      </c>
      <c r="H71" s="17">
        <v>61</v>
      </c>
      <c r="I71" s="105">
        <v>1.1174999999999999</v>
      </c>
      <c r="J71" s="105">
        <v>1.3620000000000001</v>
      </c>
      <c r="K71" s="105">
        <v>2.17</v>
      </c>
      <c r="L71" s="106"/>
      <c r="R71" s="42"/>
      <c r="S71" s="17" t="s">
        <v>4</v>
      </c>
      <c r="T71" s="17">
        <v>61</v>
      </c>
      <c r="U71" s="105">
        <v>2.1924999999999999</v>
      </c>
      <c r="V71" s="105">
        <v>3.3639999999999999</v>
      </c>
      <c r="W71" s="105">
        <v>3.9033333333333302</v>
      </c>
    </row>
    <row r="72" spans="7:23" s="9" customFormat="1" ht="14" x14ac:dyDescent="0.15">
      <c r="G72" s="17" t="s">
        <v>4</v>
      </c>
      <c r="H72" s="17">
        <v>62</v>
      </c>
      <c r="I72" s="105">
        <v>0.95</v>
      </c>
      <c r="J72" s="105">
        <v>0.99</v>
      </c>
      <c r="K72" s="105">
        <v>1.31666666666667</v>
      </c>
      <c r="L72" s="106"/>
      <c r="R72" s="42"/>
      <c r="S72" s="17" t="s">
        <v>4</v>
      </c>
      <c r="T72" s="17">
        <v>62</v>
      </c>
      <c r="U72" s="105">
        <v>3.2075</v>
      </c>
      <c r="V72" s="105">
        <v>3.0880000000000001</v>
      </c>
      <c r="W72" s="105">
        <v>2.7433333333333301</v>
      </c>
    </row>
    <row r="73" spans="7:23" s="9" customFormat="1" ht="14" x14ac:dyDescent="0.15">
      <c r="G73" s="17" t="s">
        <v>4</v>
      </c>
      <c r="H73" s="17">
        <v>63</v>
      </c>
      <c r="I73" s="105">
        <v>1.0066666666666699</v>
      </c>
      <c r="J73" s="105">
        <v>1.1975</v>
      </c>
      <c r="K73" s="105">
        <v>1.8374999999999999</v>
      </c>
      <c r="L73" s="106"/>
      <c r="R73" s="42"/>
      <c r="S73" s="17" t="s">
        <v>4</v>
      </c>
      <c r="T73" s="17">
        <v>63</v>
      </c>
      <c r="U73" s="105">
        <v>2.39333333333333</v>
      </c>
      <c r="V73" s="105">
        <v>2.355</v>
      </c>
      <c r="W73" s="105">
        <v>2.27</v>
      </c>
    </row>
    <row r="74" spans="7:23" s="9" customFormat="1" ht="14" x14ac:dyDescent="0.15">
      <c r="G74" s="17" t="s">
        <v>4</v>
      </c>
      <c r="H74" s="17">
        <v>64</v>
      </c>
      <c r="I74" s="105">
        <v>0.97</v>
      </c>
      <c r="J74" s="105">
        <v>1.1125</v>
      </c>
      <c r="K74" s="105">
        <v>1.7749999999999999</v>
      </c>
      <c r="L74" s="106"/>
      <c r="R74" s="42"/>
      <c r="S74" s="17" t="s">
        <v>4</v>
      </c>
      <c r="T74" s="17">
        <v>64</v>
      </c>
      <c r="U74" s="105">
        <v>2.56666666666667</v>
      </c>
      <c r="V74" s="105">
        <v>2.5049999999999999</v>
      </c>
      <c r="W74" s="105">
        <v>2.3774999999999999</v>
      </c>
    </row>
    <row r="75" spans="7:23" s="9" customFormat="1" ht="14" x14ac:dyDescent="0.15">
      <c r="G75" s="17" t="s">
        <v>4</v>
      </c>
      <c r="H75" s="17">
        <v>65</v>
      </c>
      <c r="I75" s="105">
        <v>0.92</v>
      </c>
      <c r="J75" s="105">
        <v>0.95199999999999996</v>
      </c>
      <c r="K75" s="105">
        <v>1.33666666666667</v>
      </c>
      <c r="L75" s="106"/>
      <c r="R75" s="42"/>
      <c r="S75" s="17" t="s">
        <v>4</v>
      </c>
      <c r="T75" s="17">
        <v>65</v>
      </c>
      <c r="U75" s="105">
        <v>1.9166666666666701</v>
      </c>
      <c r="V75" s="105">
        <v>1.85</v>
      </c>
      <c r="W75" s="105">
        <v>1.78</v>
      </c>
    </row>
    <row r="76" spans="7:23" s="9" customFormat="1" ht="14" x14ac:dyDescent="0.15">
      <c r="G76" s="17" t="s">
        <v>4</v>
      </c>
      <c r="H76" s="17">
        <v>66</v>
      </c>
      <c r="I76" s="105">
        <v>0.92333333333333301</v>
      </c>
      <c r="J76" s="105">
        <v>0.92200000000000004</v>
      </c>
      <c r="K76" s="105">
        <v>1.33</v>
      </c>
      <c r="L76" s="106"/>
      <c r="R76" s="42"/>
      <c r="S76" s="17" t="s">
        <v>4</v>
      </c>
      <c r="T76" s="17">
        <v>66</v>
      </c>
      <c r="U76" s="105">
        <v>2.3633333333333302</v>
      </c>
      <c r="V76" s="105">
        <v>2.2679999999999998</v>
      </c>
      <c r="W76" s="105">
        <v>2.0649999999999999</v>
      </c>
    </row>
    <row r="77" spans="7:23" s="9" customFormat="1" ht="14" x14ac:dyDescent="0.15">
      <c r="G77" s="17" t="s">
        <v>4</v>
      </c>
      <c r="H77" s="17">
        <v>67</v>
      </c>
      <c r="I77" s="105">
        <v>1.03666666666667</v>
      </c>
      <c r="J77" s="105">
        <v>1.25</v>
      </c>
      <c r="K77" s="105">
        <v>1.9375</v>
      </c>
      <c r="L77" s="106"/>
      <c r="R77" s="42"/>
      <c r="S77" s="17" t="s">
        <v>4</v>
      </c>
      <c r="T77" s="17">
        <v>67</v>
      </c>
      <c r="U77" s="105">
        <v>2.4233333333333298</v>
      </c>
      <c r="V77" s="105">
        <v>2.4325000000000001</v>
      </c>
      <c r="W77" s="105">
        <v>2.4575</v>
      </c>
    </row>
    <row r="78" spans="7:23" s="9" customFormat="1" ht="14" x14ac:dyDescent="0.15">
      <c r="G78" s="17" t="s">
        <v>4</v>
      </c>
      <c r="H78" s="17">
        <v>68</v>
      </c>
      <c r="I78" s="105">
        <v>0.99333333333333296</v>
      </c>
      <c r="J78" s="105">
        <v>1.17</v>
      </c>
      <c r="K78" s="105">
        <v>1.835</v>
      </c>
      <c r="L78" s="106"/>
      <c r="R78" s="42"/>
      <c r="S78" s="17" t="s">
        <v>4</v>
      </c>
      <c r="T78" s="17">
        <v>68</v>
      </c>
      <c r="U78" s="105">
        <v>2.5633333333333299</v>
      </c>
      <c r="V78" s="105">
        <v>2.5274999999999999</v>
      </c>
      <c r="W78" s="105">
        <v>2.3875000000000002</v>
      </c>
    </row>
    <row r="79" spans="7:23" s="9" customFormat="1" ht="14" x14ac:dyDescent="0.15">
      <c r="G79" s="17" t="s">
        <v>4</v>
      </c>
      <c r="H79" s="17">
        <v>69</v>
      </c>
      <c r="I79" s="105">
        <v>0.98333333333333295</v>
      </c>
      <c r="J79" s="105">
        <v>1.1475</v>
      </c>
      <c r="K79" s="105">
        <v>1.8425</v>
      </c>
      <c r="L79" s="106"/>
      <c r="R79" s="42"/>
      <c r="S79" s="17" t="s">
        <v>4</v>
      </c>
      <c r="T79" s="17">
        <v>69</v>
      </c>
      <c r="U79" s="105">
        <v>1.61333333333333</v>
      </c>
      <c r="V79" s="105">
        <v>2.9449999999999998</v>
      </c>
      <c r="W79" s="105">
        <v>2.8050000000000002</v>
      </c>
    </row>
    <row r="80" spans="7:23" s="9" customFormat="1" ht="14" x14ac:dyDescent="0.15">
      <c r="G80" s="17" t="s">
        <v>4</v>
      </c>
      <c r="H80" s="17">
        <v>70</v>
      </c>
      <c r="I80" s="105">
        <v>0.96333333333333304</v>
      </c>
      <c r="J80" s="105">
        <v>1.0900000000000001</v>
      </c>
      <c r="K80" s="105">
        <v>1.7849999999999999</v>
      </c>
      <c r="L80" s="106"/>
      <c r="R80" s="42"/>
      <c r="S80" s="17" t="s">
        <v>4</v>
      </c>
      <c r="T80" s="17">
        <v>70</v>
      </c>
      <c r="U80" s="105">
        <v>2.7433333333333301</v>
      </c>
      <c r="V80" s="105">
        <v>2.6924999999999999</v>
      </c>
      <c r="W80" s="105">
        <v>2.5274999999999999</v>
      </c>
    </row>
    <row r="81" spans="7:30" s="9" customFormat="1" ht="14" x14ac:dyDescent="0.15">
      <c r="G81" s="17" t="s">
        <v>4</v>
      </c>
      <c r="H81" s="17">
        <v>71</v>
      </c>
      <c r="I81" s="105">
        <v>1.04</v>
      </c>
      <c r="J81" s="105">
        <v>1.1375</v>
      </c>
      <c r="K81" s="105">
        <v>1.1675</v>
      </c>
      <c r="L81" s="106"/>
      <c r="R81" s="42"/>
      <c r="S81" s="17" t="s">
        <v>4</v>
      </c>
      <c r="T81" s="17">
        <v>71</v>
      </c>
      <c r="U81" s="105">
        <v>1.88333333333333</v>
      </c>
      <c r="V81" s="105">
        <v>1.8075000000000001</v>
      </c>
      <c r="W81" s="105">
        <v>1.8625</v>
      </c>
    </row>
    <row r="82" spans="7:30" s="9" customFormat="1" ht="14" x14ac:dyDescent="0.15">
      <c r="G82" s="17" t="s">
        <v>4</v>
      </c>
      <c r="H82" s="17">
        <v>72</v>
      </c>
      <c r="I82" s="105">
        <v>0.99666666666666703</v>
      </c>
      <c r="J82" s="105">
        <v>1.125</v>
      </c>
      <c r="K82" s="105">
        <v>1.7424999999999999</v>
      </c>
      <c r="L82" s="106"/>
      <c r="R82" s="42"/>
      <c r="S82" s="17" t="s">
        <v>4</v>
      </c>
      <c r="T82" s="17">
        <v>72</v>
      </c>
      <c r="U82" s="105">
        <v>2.39333333333333</v>
      </c>
      <c r="V82" s="105">
        <v>2.3525</v>
      </c>
      <c r="W82" s="105">
        <v>2.4550000000000001</v>
      </c>
    </row>
    <row r="83" spans="7:30" s="9" customFormat="1" ht="14" x14ac:dyDescent="0.15">
      <c r="G83" s="17" t="s">
        <v>4</v>
      </c>
      <c r="H83" s="17">
        <v>73</v>
      </c>
      <c r="I83" s="105">
        <v>1.0833333333333299</v>
      </c>
      <c r="J83" s="105">
        <v>1.0980000000000001</v>
      </c>
      <c r="K83" s="105">
        <v>1.48</v>
      </c>
      <c r="L83" s="106"/>
      <c r="R83" s="42"/>
      <c r="S83" s="17" t="s">
        <v>4</v>
      </c>
      <c r="T83" s="17">
        <v>73</v>
      </c>
      <c r="U83" s="105">
        <v>2.4700000000000002</v>
      </c>
      <c r="V83" s="105">
        <v>2.3740000000000001</v>
      </c>
      <c r="W83" s="105">
        <v>2.0825</v>
      </c>
    </row>
    <row r="84" spans="7:30" s="9" customFormat="1" ht="14" x14ac:dyDescent="0.15">
      <c r="G84" s="17" t="s">
        <v>4</v>
      </c>
      <c r="H84" s="17">
        <v>74</v>
      </c>
      <c r="I84" s="105">
        <v>0.88249999999999995</v>
      </c>
      <c r="J84" s="105">
        <v>0.84599999999999997</v>
      </c>
      <c r="K84" s="105">
        <v>1.075</v>
      </c>
      <c r="L84" s="106"/>
      <c r="R84" s="42"/>
      <c r="S84" s="17" t="s">
        <v>4</v>
      </c>
      <c r="T84" s="17">
        <v>74</v>
      </c>
      <c r="U84" s="105">
        <v>1.7575000000000001</v>
      </c>
      <c r="V84" s="105">
        <v>1.714</v>
      </c>
      <c r="W84" s="105">
        <v>1.5874999999999999</v>
      </c>
      <c r="Y84" s="52"/>
      <c r="AD84" s="52"/>
    </row>
    <row r="85" spans="7:30" s="9" customFormat="1" ht="14" x14ac:dyDescent="0.15">
      <c r="G85" s="17" t="s">
        <v>4</v>
      </c>
      <c r="H85" s="17">
        <v>75</v>
      </c>
      <c r="I85" s="105">
        <v>1.0833333333333299</v>
      </c>
      <c r="J85" s="105">
        <v>1.0980000000000001</v>
      </c>
      <c r="K85" s="105">
        <v>1.48</v>
      </c>
      <c r="L85" s="106"/>
      <c r="R85" s="42"/>
      <c r="S85" s="17" t="s">
        <v>4</v>
      </c>
      <c r="T85" s="17">
        <v>75</v>
      </c>
      <c r="U85" s="105">
        <v>2.4700000000000002</v>
      </c>
      <c r="V85" s="105">
        <v>2.3740000000000001</v>
      </c>
      <c r="W85" s="105">
        <v>2.0825</v>
      </c>
    </row>
    <row r="86" spans="7:30" s="9" customFormat="1" ht="14" x14ac:dyDescent="0.15">
      <c r="G86" s="17" t="s">
        <v>4</v>
      </c>
      <c r="H86" s="17">
        <v>76</v>
      </c>
      <c r="I86" s="105">
        <v>1.0833333333333299</v>
      </c>
      <c r="J86" s="105">
        <v>1.0980000000000001</v>
      </c>
      <c r="K86" s="105">
        <v>1.48</v>
      </c>
      <c r="L86" s="106"/>
      <c r="R86" s="42"/>
      <c r="S86" s="17" t="s">
        <v>4</v>
      </c>
      <c r="T86" s="17">
        <v>76</v>
      </c>
      <c r="U86" s="105">
        <v>2.4700000000000002</v>
      </c>
      <c r="V86" s="105">
        <v>2.3740000000000001</v>
      </c>
      <c r="W86" s="105">
        <v>2.0825</v>
      </c>
    </row>
    <row r="87" spans="7:30" s="9" customFormat="1" ht="14" x14ac:dyDescent="0.15">
      <c r="G87" s="17" t="s">
        <v>4</v>
      </c>
      <c r="H87" s="17">
        <v>77</v>
      </c>
      <c r="I87" s="105">
        <v>0.97666666666666702</v>
      </c>
      <c r="J87" s="105">
        <v>0.95799999999999996</v>
      </c>
      <c r="K87" s="105">
        <v>1.20333333333333</v>
      </c>
      <c r="L87" s="106"/>
      <c r="R87" s="42"/>
      <c r="S87" s="17" t="s">
        <v>4</v>
      </c>
      <c r="T87" s="17">
        <v>77</v>
      </c>
      <c r="U87" s="105">
        <v>1.65</v>
      </c>
      <c r="V87" s="105">
        <v>1.6180000000000001</v>
      </c>
      <c r="W87" s="105">
        <v>1.54666666666667</v>
      </c>
    </row>
    <row r="88" spans="7:30" s="9" customFormat="1" ht="14" x14ac:dyDescent="0.15">
      <c r="G88" s="17" t="s">
        <v>4</v>
      </c>
      <c r="H88" s="17">
        <v>78</v>
      </c>
      <c r="I88" s="105">
        <v>0.93666666666666698</v>
      </c>
      <c r="J88" s="105">
        <v>0.95399999999999996</v>
      </c>
      <c r="K88" s="105">
        <v>1.2233333333333301</v>
      </c>
      <c r="L88" s="106"/>
      <c r="R88" s="42"/>
      <c r="S88" s="17" t="s">
        <v>4</v>
      </c>
      <c r="T88" s="17">
        <v>78</v>
      </c>
      <c r="U88" s="105">
        <v>2.1466666666666701</v>
      </c>
      <c r="V88" s="105">
        <v>2.0920000000000001</v>
      </c>
      <c r="W88" s="105">
        <v>1.86333333333333</v>
      </c>
    </row>
    <row r="89" spans="7:30" s="9" customFormat="1" ht="14" x14ac:dyDescent="0.15">
      <c r="G89" s="17" t="s">
        <v>4</v>
      </c>
      <c r="H89" s="17">
        <v>79</v>
      </c>
      <c r="I89" s="105">
        <v>1.02</v>
      </c>
      <c r="J89" s="105">
        <v>1.0449999999999999</v>
      </c>
      <c r="K89" s="105">
        <v>1.1766666666666701</v>
      </c>
      <c r="L89" s="106"/>
      <c r="R89" s="42"/>
      <c r="S89" s="17" t="s">
        <v>4</v>
      </c>
      <c r="T89" s="17">
        <v>79</v>
      </c>
      <c r="U89" s="105">
        <v>1.5233333333333301</v>
      </c>
      <c r="V89" s="105">
        <v>1.47</v>
      </c>
      <c r="W89" s="105">
        <v>1.38</v>
      </c>
    </row>
    <row r="90" spans="7:30" s="9" customFormat="1" ht="14" x14ac:dyDescent="0.15">
      <c r="G90" s="17" t="s">
        <v>4</v>
      </c>
      <c r="H90" s="17">
        <v>80</v>
      </c>
      <c r="I90" s="105">
        <v>0.95750000000000002</v>
      </c>
      <c r="J90" s="105">
        <v>0.93</v>
      </c>
      <c r="K90" s="105">
        <v>1.2175</v>
      </c>
      <c r="L90" s="106"/>
      <c r="R90" s="42"/>
      <c r="S90" s="17" t="s">
        <v>4</v>
      </c>
      <c r="T90" s="17">
        <v>80</v>
      </c>
      <c r="U90" s="105">
        <v>1.835</v>
      </c>
      <c r="V90" s="105">
        <v>1.756</v>
      </c>
      <c r="W90" s="105">
        <v>1.6825000000000001</v>
      </c>
    </row>
    <row r="91" spans="7:30" s="9" customFormat="1" ht="14" x14ac:dyDescent="0.15">
      <c r="G91" s="17" t="s">
        <v>4</v>
      </c>
      <c r="H91" s="17">
        <v>81</v>
      </c>
      <c r="I91" s="105">
        <v>0.96</v>
      </c>
      <c r="J91" s="105">
        <v>0.99750000000000005</v>
      </c>
      <c r="K91" s="105">
        <v>1.20333333333333</v>
      </c>
      <c r="L91" s="106"/>
      <c r="R91" s="42"/>
      <c r="S91" s="17" t="s">
        <v>4</v>
      </c>
      <c r="T91" s="17">
        <v>81</v>
      </c>
      <c r="U91" s="105">
        <v>1.68333333333333</v>
      </c>
      <c r="V91" s="105">
        <v>1.665</v>
      </c>
      <c r="W91" s="105">
        <v>1.5733333333333299</v>
      </c>
    </row>
    <row r="92" spans="7:30" s="9" customFormat="1" ht="14" x14ac:dyDescent="0.15">
      <c r="G92" s="17" t="s">
        <v>4</v>
      </c>
      <c r="H92" s="17">
        <v>82</v>
      </c>
      <c r="I92" s="105">
        <v>1.0333333333333301</v>
      </c>
      <c r="J92" s="105">
        <v>1.0925</v>
      </c>
      <c r="K92" s="105">
        <v>1.5149999999999999</v>
      </c>
      <c r="L92" s="106"/>
      <c r="R92" s="42"/>
      <c r="S92" s="17" t="s">
        <v>4</v>
      </c>
      <c r="T92" s="17">
        <v>82</v>
      </c>
      <c r="U92" s="105">
        <v>2.3866666666666698</v>
      </c>
      <c r="V92" s="105">
        <v>2.2825000000000002</v>
      </c>
      <c r="W92" s="105">
        <v>2.2025000000000001</v>
      </c>
    </row>
    <row r="93" spans="7:30" s="9" customFormat="1" ht="14" x14ac:dyDescent="0.15">
      <c r="G93" s="17" t="s">
        <v>4</v>
      </c>
      <c r="H93" s="17">
        <v>83</v>
      </c>
      <c r="I93" s="105">
        <v>0.90333333333333299</v>
      </c>
      <c r="J93" s="105">
        <v>0.93400000000000005</v>
      </c>
      <c r="K93" s="105">
        <v>1.2933333333333299</v>
      </c>
      <c r="L93" s="106"/>
      <c r="R93" s="42"/>
      <c r="S93" s="17" t="s">
        <v>4</v>
      </c>
      <c r="T93" s="17">
        <v>83</v>
      </c>
      <c r="U93" s="105">
        <v>2.2666666666666702</v>
      </c>
      <c r="V93" s="105">
        <v>2.1819999999999999</v>
      </c>
      <c r="W93" s="105">
        <v>2.0066666666666699</v>
      </c>
    </row>
    <row r="94" spans="7:30" s="9" customFormat="1" ht="14" x14ac:dyDescent="0.15">
      <c r="G94" s="17" t="s">
        <v>4</v>
      </c>
      <c r="H94" s="17">
        <v>84</v>
      </c>
      <c r="I94" s="105">
        <v>0.82333333333333303</v>
      </c>
      <c r="J94" s="105">
        <v>0.84399999999999997</v>
      </c>
      <c r="K94" s="105">
        <v>0.98699999999999999</v>
      </c>
      <c r="L94" s="106"/>
      <c r="R94" s="42"/>
      <c r="S94" s="17" t="s">
        <v>4</v>
      </c>
      <c r="T94" s="17">
        <v>84</v>
      </c>
      <c r="U94" s="105">
        <v>2.35666666666667</v>
      </c>
      <c r="V94" s="105">
        <v>2.294</v>
      </c>
      <c r="W94" s="105">
        <v>2.12333333333333</v>
      </c>
    </row>
    <row r="95" spans="7:30" s="9" customFormat="1" ht="14" x14ac:dyDescent="0.15">
      <c r="G95" s="17" t="s">
        <v>4</v>
      </c>
      <c r="H95" s="17">
        <v>85</v>
      </c>
      <c r="I95" s="105">
        <v>1.0633333333333299</v>
      </c>
      <c r="J95" s="105">
        <v>1.1020000000000001</v>
      </c>
      <c r="K95" s="105">
        <v>1.4350000000000001</v>
      </c>
      <c r="L95" s="106"/>
      <c r="R95" s="42"/>
      <c r="S95" s="17" t="s">
        <v>4</v>
      </c>
      <c r="T95" s="17">
        <v>85</v>
      </c>
      <c r="U95" s="105">
        <v>1.86333333333333</v>
      </c>
      <c r="V95" s="105">
        <v>1.8240000000000001</v>
      </c>
      <c r="W95" s="105">
        <v>1.7849999999999999</v>
      </c>
    </row>
    <row r="96" spans="7:30" s="9" customFormat="1" ht="14" x14ac:dyDescent="0.15">
      <c r="G96" s="17" t="s">
        <v>4</v>
      </c>
      <c r="H96" s="17">
        <v>86</v>
      </c>
      <c r="I96" s="105">
        <v>1.2775000000000001</v>
      </c>
      <c r="J96" s="105">
        <v>1.304</v>
      </c>
      <c r="K96" s="105">
        <v>1.6766666666666701</v>
      </c>
      <c r="L96" s="106"/>
      <c r="R96" s="42"/>
      <c r="S96" s="17" t="s">
        <v>4</v>
      </c>
      <c r="T96" s="17">
        <v>86</v>
      </c>
      <c r="U96" s="105">
        <v>2.3224999999999998</v>
      </c>
      <c r="V96" s="105">
        <v>2.238</v>
      </c>
      <c r="W96" s="105">
        <v>2.1033333333333299</v>
      </c>
    </row>
    <row r="97" spans="2:32" s="9" customFormat="1" ht="14" x14ac:dyDescent="0.15">
      <c r="G97" s="17" t="s">
        <v>4</v>
      </c>
      <c r="H97" s="17">
        <v>87</v>
      </c>
      <c r="I97" s="105">
        <v>0.94666666666666699</v>
      </c>
      <c r="J97" s="105">
        <v>0.95199999999999996</v>
      </c>
      <c r="K97" s="105">
        <v>1.1599999999999999</v>
      </c>
      <c r="L97" s="106"/>
      <c r="R97" s="42"/>
      <c r="S97" s="17" t="s">
        <v>4</v>
      </c>
      <c r="T97" s="17">
        <v>87</v>
      </c>
      <c r="U97" s="105">
        <v>1.58</v>
      </c>
      <c r="V97" s="105">
        <v>1.53</v>
      </c>
      <c r="W97" s="105">
        <v>1.4750000000000001</v>
      </c>
    </row>
    <row r="98" spans="2:32" s="9" customFormat="1" ht="14" x14ac:dyDescent="0.15">
      <c r="G98" s="17" t="s">
        <v>4</v>
      </c>
      <c r="H98" s="17">
        <v>88</v>
      </c>
      <c r="I98" s="105">
        <v>1</v>
      </c>
      <c r="J98" s="105">
        <v>0.96599999999999997</v>
      </c>
      <c r="K98" s="105">
        <v>1.2275</v>
      </c>
      <c r="L98" s="106"/>
      <c r="R98" s="42"/>
      <c r="S98" s="17" t="s">
        <v>4</v>
      </c>
      <c r="T98" s="17">
        <v>88</v>
      </c>
      <c r="U98" s="105">
        <v>1.7066666666666701</v>
      </c>
      <c r="V98" s="105">
        <v>1.58</v>
      </c>
      <c r="W98" s="105">
        <v>1.615</v>
      </c>
    </row>
    <row r="99" spans="2:32" s="9" customFormat="1" ht="14" x14ac:dyDescent="0.15">
      <c r="G99" s="17" t="s">
        <v>4</v>
      </c>
      <c r="H99" s="17">
        <v>89</v>
      </c>
      <c r="I99" s="105">
        <v>0.78749999999999998</v>
      </c>
      <c r="J99" s="105">
        <v>1.004</v>
      </c>
      <c r="K99" s="105">
        <v>1.2575000000000001</v>
      </c>
      <c r="L99" s="106"/>
      <c r="R99" s="42"/>
      <c r="S99" s="17" t="s">
        <v>4</v>
      </c>
      <c r="T99" s="17">
        <v>89</v>
      </c>
      <c r="U99" s="105">
        <v>1.204</v>
      </c>
      <c r="V99" s="105">
        <v>1.6659999999999999</v>
      </c>
      <c r="W99" s="105">
        <v>1.58</v>
      </c>
    </row>
    <row r="100" spans="2:32" s="9" customFormat="1" ht="14" x14ac:dyDescent="0.15">
      <c r="G100" s="17" t="s">
        <v>4</v>
      </c>
      <c r="H100" s="17">
        <v>90</v>
      </c>
      <c r="I100" s="105">
        <v>0.76719999999999999</v>
      </c>
      <c r="J100" s="105">
        <v>1.024</v>
      </c>
      <c r="K100" s="105">
        <v>1.27</v>
      </c>
      <c r="L100" s="106"/>
      <c r="R100" s="42"/>
      <c r="S100" s="17" t="s">
        <v>4</v>
      </c>
      <c r="T100" s="17">
        <v>90</v>
      </c>
      <c r="U100" s="105">
        <v>1.1850000000000001</v>
      </c>
      <c r="V100" s="105">
        <v>1.6619999999999999</v>
      </c>
      <c r="W100" s="105">
        <v>1.62</v>
      </c>
    </row>
    <row r="101" spans="2:32" s="9" customFormat="1" ht="14" x14ac:dyDescent="0.15">
      <c r="H101" s="68"/>
      <c r="I101" s="64"/>
      <c r="J101" s="64"/>
      <c r="K101" s="64"/>
      <c r="L101" s="64"/>
      <c r="M101" s="42"/>
      <c r="N101" s="42"/>
      <c r="O101" s="42"/>
      <c r="P101" s="42"/>
      <c r="Q101" s="42"/>
      <c r="R101" s="42"/>
      <c r="S101" s="42"/>
      <c r="T101" s="64"/>
      <c r="U101" s="64"/>
      <c r="V101" s="68"/>
      <c r="W101" s="68"/>
    </row>
    <row r="102" spans="2:32" s="9" customFormat="1" ht="14" x14ac:dyDescent="0.15">
      <c r="B102" s="537" t="s">
        <v>1</v>
      </c>
      <c r="C102" s="538"/>
      <c r="D102" s="538"/>
      <c r="E102" s="539"/>
      <c r="F102" s="188"/>
      <c r="H102" s="537" t="s">
        <v>296</v>
      </c>
      <c r="I102" s="538"/>
      <c r="J102" s="538"/>
      <c r="K102" s="539"/>
      <c r="L102" s="188"/>
      <c r="N102" s="537" t="s">
        <v>1</v>
      </c>
      <c r="O102" s="538"/>
      <c r="P102" s="538"/>
      <c r="Q102" s="539"/>
      <c r="R102" s="188"/>
      <c r="T102" s="537" t="s">
        <v>296</v>
      </c>
      <c r="U102" s="538"/>
      <c r="V102" s="538"/>
      <c r="W102" s="539"/>
    </row>
    <row r="103" spans="2:32" s="9" customFormat="1" ht="15" x14ac:dyDescent="0.15">
      <c r="B103" s="540" t="s">
        <v>321</v>
      </c>
      <c r="C103" s="541"/>
      <c r="D103" s="541"/>
      <c r="E103" s="542"/>
      <c r="F103" s="188"/>
      <c r="H103" s="540" t="s">
        <v>321</v>
      </c>
      <c r="I103" s="541"/>
      <c r="J103" s="541"/>
      <c r="K103" s="542"/>
      <c r="L103" s="188"/>
      <c r="N103" s="540" t="s">
        <v>322</v>
      </c>
      <c r="O103" s="541"/>
      <c r="P103" s="541"/>
      <c r="Q103" s="542"/>
      <c r="R103" s="188"/>
      <c r="T103" s="540" t="s">
        <v>322</v>
      </c>
      <c r="U103" s="541"/>
      <c r="V103" s="541"/>
      <c r="W103" s="542"/>
    </row>
    <row r="104" spans="2:32" s="9" customFormat="1" ht="14" x14ac:dyDescent="0.15">
      <c r="B104" s="17"/>
      <c r="C104" s="69" t="s">
        <v>297</v>
      </c>
      <c r="D104" s="69" t="s">
        <v>298</v>
      </c>
      <c r="E104" s="69" t="s">
        <v>299</v>
      </c>
      <c r="F104" s="100"/>
      <c r="H104" s="17"/>
      <c r="I104" s="69" t="s">
        <v>297</v>
      </c>
      <c r="J104" s="69" t="s">
        <v>298</v>
      </c>
      <c r="K104" s="69" t="s">
        <v>299</v>
      </c>
      <c r="L104" s="100"/>
      <c r="N104" s="17"/>
      <c r="O104" s="69" t="s">
        <v>297</v>
      </c>
      <c r="P104" s="69" t="s">
        <v>298</v>
      </c>
      <c r="Q104" s="69" t="s">
        <v>299</v>
      </c>
      <c r="R104" s="110"/>
      <c r="T104" s="17"/>
      <c r="U104" s="69" t="s">
        <v>297</v>
      </c>
      <c r="V104" s="69" t="s">
        <v>298</v>
      </c>
      <c r="W104" s="69" t="s">
        <v>299</v>
      </c>
    </row>
    <row r="105" spans="2:32" s="9" customFormat="1" ht="14" x14ac:dyDescent="0.15">
      <c r="B105" s="17" t="s">
        <v>51</v>
      </c>
      <c r="C105" s="17">
        <f>AVERAGE(C11:C39)</f>
        <v>0.96922413793103457</v>
      </c>
      <c r="D105" s="17">
        <f>AVERAGE(D11:D39)</f>
        <v>1.0499137931034483</v>
      </c>
      <c r="E105" s="17">
        <f>AVERAGE(E11:E39)</f>
        <v>1.434662068965517</v>
      </c>
      <c r="F105" s="68"/>
      <c r="H105" s="17" t="s">
        <v>51</v>
      </c>
      <c r="I105" s="17">
        <f>AVERAGE(I11:I100)</f>
        <v>1.0736485185185187</v>
      </c>
      <c r="J105" s="17">
        <f>AVERAGE(J11:J100)</f>
        <v>1.1934911111111108</v>
      </c>
      <c r="K105" s="17">
        <f>AVERAGE(K11:K100)</f>
        <v>1.5678962962962968</v>
      </c>
      <c r="L105" s="68"/>
      <c r="N105" s="17" t="s">
        <v>51</v>
      </c>
      <c r="O105" s="17">
        <f>AVERAGE(O11:O39)</f>
        <v>2.5367241379310341</v>
      </c>
      <c r="P105" s="17">
        <f>AVERAGE(P11:P39)</f>
        <v>2.4804827586206892</v>
      </c>
      <c r="Q105" s="17">
        <f>AVERAGE(Q11:Q39)</f>
        <v>2.5660517241379308</v>
      </c>
      <c r="R105" s="64"/>
      <c r="T105" s="17" t="s">
        <v>51</v>
      </c>
      <c r="U105" s="17">
        <f>AVERAGE(U11:U100)</f>
        <v>2.5005629629629631</v>
      </c>
      <c r="V105" s="17">
        <f>AVERAGE(V11:V100)</f>
        <v>2.5539333333333341</v>
      </c>
      <c r="W105" s="17">
        <f>AVERAGE(W11:W100)</f>
        <v>2.5009722222222233</v>
      </c>
    </row>
    <row r="106" spans="2:32" s="9" customFormat="1" ht="14" x14ac:dyDescent="0.15">
      <c r="B106" s="17" t="s">
        <v>13</v>
      </c>
      <c r="C106" s="17">
        <f>STDEV(C11:C39)</f>
        <v>5.5085580529445365E-2</v>
      </c>
      <c r="D106" s="17">
        <f>STDEV(D11:D39)</f>
        <v>5.6050370994935934E-2</v>
      </c>
      <c r="E106" s="17">
        <f>STDEV(E11:E39)</f>
        <v>0.28319127359158586</v>
      </c>
      <c r="F106" s="68"/>
      <c r="H106" s="17" t="s">
        <v>13</v>
      </c>
      <c r="I106" s="17">
        <f>STDEV(I11:I100)</f>
        <v>0.17644289178499081</v>
      </c>
      <c r="J106" s="17">
        <f>STDEV(J11:J100)</f>
        <v>0.2145968766563548</v>
      </c>
      <c r="K106" s="17">
        <f>STDEV(K11:K100)</f>
        <v>0.34808941030165524</v>
      </c>
      <c r="L106" s="68"/>
      <c r="N106" s="17" t="s">
        <v>13</v>
      </c>
      <c r="O106" s="17">
        <f>STDEV(O11:O39)</f>
        <v>1.1238242076738234</v>
      </c>
      <c r="P106" s="17">
        <f>STDEV(P11:P39)</f>
        <v>1.0655918080943727</v>
      </c>
      <c r="Q106" s="17">
        <f>STDEV(Q11:Q39)</f>
        <v>1.2704345315736587</v>
      </c>
      <c r="R106" s="64"/>
      <c r="T106" s="17" t="s">
        <v>13</v>
      </c>
      <c r="U106" s="17">
        <f>STDEV(U11:U100)</f>
        <v>0.81951249194599762</v>
      </c>
      <c r="V106" s="17">
        <f>STDEV(V11:V100)</f>
        <v>0.75793391621454353</v>
      </c>
      <c r="W106" s="17">
        <f>STDEV(W11:W100)</f>
        <v>0.70898698073918864</v>
      </c>
    </row>
    <row r="107" spans="2:32" s="9" customFormat="1" ht="14" x14ac:dyDescent="0.15">
      <c r="B107" s="17" t="s">
        <v>14</v>
      </c>
      <c r="C107" s="45">
        <f>C106/(29^0.5)</f>
        <v>1.0229135505094581E-2</v>
      </c>
      <c r="D107" s="45">
        <f>D106/(29^0.5)</f>
        <v>1.0408292596853847E-2</v>
      </c>
      <c r="E107" s="45">
        <f>E106/(29^0.5)</f>
        <v>5.2587299318379556E-2</v>
      </c>
      <c r="F107" s="97"/>
      <c r="H107" s="17" t="s">
        <v>14</v>
      </c>
      <c r="I107" s="45">
        <f>I106/(90^0.5)</f>
        <v>1.8598713832906111E-2</v>
      </c>
      <c r="J107" s="45">
        <f t="shared" ref="J107:K107" si="0">J106/(90^0.5)</f>
        <v>2.2620496966409998E-2</v>
      </c>
      <c r="K107" s="45">
        <f t="shared" si="0"/>
        <v>3.6691845531270306E-2</v>
      </c>
      <c r="L107" s="97"/>
      <c r="N107" s="17" t="s">
        <v>14</v>
      </c>
      <c r="O107" s="45">
        <f>O106/(29^0.5)</f>
        <v>0.208688916295548</v>
      </c>
      <c r="P107" s="45">
        <f>P106/(29^0.5)</f>
        <v>0.1978754311627807</v>
      </c>
      <c r="Q107" s="45">
        <f>Q106/(29^0.5)</f>
        <v>0.23591376997237504</v>
      </c>
      <c r="R107" s="79"/>
      <c r="T107" s="17" t="s">
        <v>14</v>
      </c>
      <c r="U107" s="45">
        <f>U106/(90^0.5)</f>
        <v>8.6384201516991568E-2</v>
      </c>
      <c r="V107" s="45">
        <f t="shared" ref="V107:W107" si="1">V106/(90^0.5)</f>
        <v>7.9893249704306099E-2</v>
      </c>
      <c r="W107" s="45">
        <f t="shared" si="1"/>
        <v>7.4733789684725507E-2</v>
      </c>
    </row>
    <row r="108" spans="2:32" x14ac:dyDescent="0.2">
      <c r="B108" s="68"/>
      <c r="C108" s="97"/>
      <c r="D108" s="97"/>
      <c r="E108" s="97"/>
      <c r="F108" s="97"/>
      <c r="G108" s="9"/>
      <c r="H108" s="68"/>
      <c r="I108" s="97"/>
      <c r="J108" s="97"/>
      <c r="K108" s="97"/>
      <c r="L108" s="97"/>
      <c r="N108" s="68"/>
      <c r="O108" s="97"/>
      <c r="P108" s="97"/>
      <c r="Q108" s="97"/>
      <c r="R108" s="79"/>
      <c r="S108" s="9"/>
      <c r="T108" s="68"/>
      <c r="U108" s="97"/>
      <c r="V108" s="97"/>
      <c r="W108" s="97"/>
    </row>
    <row r="109" spans="2:32" x14ac:dyDescent="0.2">
      <c r="C109" s="96"/>
      <c r="D109" s="96"/>
      <c r="E109" s="96"/>
      <c r="F109" s="96"/>
      <c r="G109" s="78"/>
      <c r="H109" s="68"/>
      <c r="I109" s="78"/>
      <c r="J109" s="78"/>
      <c r="K109" s="78"/>
      <c r="L109" s="78"/>
      <c r="M109" s="78"/>
      <c r="N109" s="78"/>
      <c r="O109" s="78"/>
      <c r="P109" s="78"/>
      <c r="Q109" s="78"/>
      <c r="R109" s="58"/>
      <c r="S109" s="78"/>
      <c r="T109" s="78"/>
      <c r="U109" s="78"/>
      <c r="V109" s="78"/>
      <c r="W109" s="78"/>
      <c r="X109" s="78"/>
    </row>
    <row r="110" spans="2:32" ht="18" x14ac:dyDescent="0.2">
      <c r="B110" s="19" t="s">
        <v>52</v>
      </c>
      <c r="C110" s="20"/>
      <c r="D110" s="20"/>
      <c r="E110" s="20"/>
      <c r="F110" s="20"/>
      <c r="G110" s="42"/>
      <c r="H110" s="68"/>
      <c r="I110" s="78"/>
      <c r="J110" s="78"/>
      <c r="K110" s="58"/>
      <c r="L110" s="58"/>
      <c r="M110" s="58"/>
      <c r="N110" s="58"/>
      <c r="O110" s="58"/>
      <c r="P110" s="58"/>
      <c r="Q110" s="58"/>
      <c r="R110" s="58"/>
      <c r="S110" s="58"/>
      <c r="T110" s="58"/>
      <c r="U110" s="58"/>
      <c r="V110" s="58"/>
      <c r="W110" s="58"/>
      <c r="X110" s="58"/>
      <c r="Y110" s="66"/>
      <c r="Z110" s="66"/>
      <c r="AA110" s="66"/>
      <c r="AB110" s="66"/>
      <c r="AC110" s="66"/>
      <c r="AD110" s="66"/>
      <c r="AE110" s="66"/>
      <c r="AF110" s="66"/>
    </row>
    <row r="111" spans="2:32" x14ac:dyDescent="0.2">
      <c r="K111" s="66"/>
      <c r="L111" s="66"/>
      <c r="M111" s="66"/>
      <c r="N111" s="66"/>
      <c r="O111" s="66"/>
      <c r="P111" s="66"/>
      <c r="Q111" s="66"/>
      <c r="S111" s="66"/>
      <c r="T111" s="66"/>
      <c r="U111" s="66"/>
      <c r="V111" s="66"/>
      <c r="W111" s="66"/>
      <c r="X111" s="66"/>
      <c r="Y111" s="66"/>
      <c r="Z111" s="66"/>
      <c r="AA111" s="66"/>
      <c r="AB111" s="66"/>
      <c r="AC111" s="66"/>
      <c r="AD111" s="66"/>
      <c r="AE111" s="66"/>
      <c r="AF111" s="66"/>
    </row>
    <row r="112" spans="2:32" x14ac:dyDescent="0.2">
      <c r="B112" s="52" t="s">
        <v>300</v>
      </c>
      <c r="K112" s="66"/>
      <c r="L112" s="66"/>
      <c r="M112" s="66"/>
      <c r="N112" s="98"/>
      <c r="O112" s="66"/>
      <c r="P112" s="66"/>
      <c r="Q112" s="66"/>
      <c r="S112" s="66"/>
      <c r="T112" s="66"/>
      <c r="U112" s="66"/>
      <c r="V112" s="66"/>
      <c r="W112" s="66"/>
      <c r="X112" s="66"/>
      <c r="Y112" s="66"/>
      <c r="Z112" s="66"/>
      <c r="AA112" s="66"/>
      <c r="AB112" s="66"/>
      <c r="AC112" s="66"/>
      <c r="AD112" s="66"/>
      <c r="AE112" s="66"/>
      <c r="AF112" s="66"/>
    </row>
    <row r="113" spans="2:32" x14ac:dyDescent="0.2">
      <c r="D113" s="48" t="s">
        <v>1</v>
      </c>
      <c r="E113" s="48" t="s">
        <v>296</v>
      </c>
      <c r="F113" s="48"/>
      <c r="K113" s="66"/>
      <c r="L113" s="66"/>
      <c r="M113" s="66"/>
      <c r="N113" s="66"/>
      <c r="O113" s="66"/>
      <c r="P113" s="66"/>
      <c r="Q113" s="66"/>
      <c r="S113" s="66"/>
      <c r="T113" s="66"/>
      <c r="U113" s="66"/>
      <c r="V113" s="66"/>
      <c r="W113" s="99"/>
      <c r="X113" s="99"/>
      <c r="Y113" s="99"/>
      <c r="Z113" s="99"/>
      <c r="AA113" s="99"/>
      <c r="AB113" s="99"/>
      <c r="AC113" s="99"/>
      <c r="AD113" s="99"/>
      <c r="AE113" s="66"/>
      <c r="AF113" s="66"/>
    </row>
    <row r="114" spans="2:32" x14ac:dyDescent="0.2">
      <c r="B114" s="2" t="s">
        <v>243</v>
      </c>
      <c r="C114" s="1"/>
      <c r="D114" s="1"/>
      <c r="K114" s="66"/>
      <c r="L114" s="66"/>
      <c r="M114" s="66"/>
      <c r="N114" s="66"/>
      <c r="O114" s="66"/>
      <c r="P114" s="66"/>
      <c r="Q114" s="66"/>
      <c r="S114" s="66"/>
      <c r="T114" s="66"/>
      <c r="U114" s="66"/>
      <c r="V114" s="66"/>
      <c r="W114" s="66"/>
      <c r="X114" s="66"/>
      <c r="Y114" s="66"/>
      <c r="Z114" s="66"/>
      <c r="AA114" s="66"/>
      <c r="AB114" s="66"/>
      <c r="AC114" s="66"/>
      <c r="AD114" s="66"/>
      <c r="AE114" s="66"/>
      <c r="AF114" s="66"/>
    </row>
    <row r="115" spans="2:32" x14ac:dyDescent="0.2">
      <c r="B115" s="2" t="s">
        <v>244</v>
      </c>
      <c r="D115" s="46">
        <v>0.96640000000000004</v>
      </c>
      <c r="E115" s="46">
        <v>0.88780000000000003</v>
      </c>
      <c r="F115" s="46"/>
      <c r="K115" s="66"/>
      <c r="L115" s="66"/>
      <c r="M115" s="66"/>
      <c r="N115" s="66"/>
      <c r="O115" s="66"/>
      <c r="P115" s="66"/>
      <c r="Q115" s="66"/>
      <c r="S115" s="66"/>
      <c r="T115" s="66"/>
      <c r="U115" s="66"/>
      <c r="V115" s="66"/>
      <c r="W115" s="66"/>
      <c r="X115" s="66"/>
      <c r="Y115" s="66"/>
      <c r="Z115" s="66"/>
      <c r="AA115" s="66"/>
      <c r="AB115" s="66"/>
      <c r="AC115" s="66"/>
      <c r="AD115" s="66"/>
      <c r="AE115" s="66"/>
      <c r="AF115" s="66"/>
    </row>
    <row r="116" spans="2:32" x14ac:dyDescent="0.2">
      <c r="B116" s="2" t="s">
        <v>36</v>
      </c>
      <c r="D116" s="46">
        <v>0.4657</v>
      </c>
      <c r="E116" s="46" t="s">
        <v>176</v>
      </c>
      <c r="F116" s="46"/>
      <c r="K116" s="66"/>
      <c r="L116" s="66"/>
      <c r="M116" s="66"/>
      <c r="N116" s="66"/>
      <c r="O116" s="66"/>
      <c r="P116" s="66"/>
      <c r="Q116" s="66"/>
      <c r="S116" s="66"/>
      <c r="T116" s="66"/>
      <c r="U116" s="66"/>
      <c r="V116" s="66"/>
      <c r="W116" s="66"/>
      <c r="X116" s="66"/>
      <c r="Y116" s="66"/>
      <c r="Z116" s="66"/>
      <c r="AA116" s="66"/>
      <c r="AB116" s="66"/>
      <c r="AC116" s="66"/>
      <c r="AD116" s="66"/>
      <c r="AE116" s="66"/>
      <c r="AF116" s="66"/>
    </row>
    <row r="117" spans="2:32" x14ac:dyDescent="0.2">
      <c r="B117" s="2" t="s">
        <v>245</v>
      </c>
      <c r="D117" s="46" t="s">
        <v>41</v>
      </c>
      <c r="E117" s="46" t="s">
        <v>49</v>
      </c>
      <c r="F117" s="46"/>
      <c r="K117" s="66"/>
      <c r="L117" s="66"/>
      <c r="M117" s="66"/>
      <c r="N117" s="66"/>
      <c r="O117" s="66"/>
      <c r="P117" s="66"/>
      <c r="Q117" s="66"/>
      <c r="S117" s="66"/>
      <c r="T117" s="66"/>
      <c r="U117" s="66"/>
      <c r="V117" s="66"/>
      <c r="W117" s="66"/>
      <c r="X117" s="66"/>
      <c r="Y117" s="66"/>
      <c r="Z117" s="66"/>
      <c r="AA117" s="66"/>
      <c r="AB117" s="66"/>
      <c r="AC117" s="66"/>
      <c r="AD117" s="66"/>
      <c r="AE117" s="66"/>
      <c r="AF117" s="66"/>
    </row>
    <row r="118" spans="2:32" x14ac:dyDescent="0.2">
      <c r="B118" s="2" t="s">
        <v>37</v>
      </c>
      <c r="D118" s="46" t="s">
        <v>9</v>
      </c>
      <c r="E118" s="46" t="s">
        <v>10</v>
      </c>
      <c r="F118" s="46"/>
      <c r="K118" s="66"/>
      <c r="L118" s="66"/>
      <c r="M118" s="66"/>
      <c r="N118" s="66"/>
      <c r="O118" s="66"/>
      <c r="P118" s="66"/>
      <c r="Q118" s="66"/>
      <c r="S118" s="66"/>
      <c r="T118" s="66"/>
      <c r="U118" s="66"/>
      <c r="V118" s="66"/>
      <c r="W118" s="66"/>
      <c r="X118" s="66"/>
      <c r="Y118" s="66"/>
      <c r="Z118" s="66"/>
      <c r="AA118" s="66"/>
      <c r="AB118" s="66"/>
      <c r="AC118" s="66"/>
      <c r="AD118" s="66"/>
      <c r="AE118" s="66"/>
      <c r="AF118" s="66"/>
    </row>
    <row r="119" spans="2:32" x14ac:dyDescent="0.2">
      <c r="K119" s="66"/>
      <c r="L119" s="66"/>
      <c r="M119" s="66"/>
      <c r="N119" s="66"/>
      <c r="O119" s="66"/>
      <c r="P119" s="66"/>
      <c r="Q119" s="66"/>
      <c r="S119" s="66"/>
      <c r="T119" s="66"/>
      <c r="U119" s="66"/>
      <c r="V119" s="66"/>
      <c r="W119" s="79"/>
      <c r="X119" s="79"/>
      <c r="Y119" s="66"/>
      <c r="Z119" s="79"/>
      <c r="AA119" s="79"/>
      <c r="AB119" s="66"/>
      <c r="AC119" s="79"/>
      <c r="AD119" s="79"/>
      <c r="AE119" s="66"/>
      <c r="AF119" s="66"/>
    </row>
    <row r="120" spans="2:32" x14ac:dyDescent="0.2">
      <c r="K120" s="66"/>
      <c r="L120" s="66"/>
      <c r="M120" s="66"/>
      <c r="N120" s="66"/>
      <c r="O120" s="66"/>
      <c r="P120" s="66"/>
      <c r="Q120" s="66"/>
      <c r="S120" s="66"/>
      <c r="T120" s="66"/>
      <c r="U120" s="66"/>
      <c r="V120" s="66"/>
      <c r="W120" s="79"/>
      <c r="X120" s="79"/>
      <c r="Y120" s="66"/>
      <c r="Z120" s="79"/>
      <c r="AA120" s="79"/>
      <c r="AB120" s="66"/>
      <c r="AC120" s="79"/>
      <c r="AD120" s="79"/>
      <c r="AE120" s="66"/>
      <c r="AF120" s="66"/>
    </row>
    <row r="121" spans="2:32" x14ac:dyDescent="0.2">
      <c r="B121" s="2" t="s">
        <v>301</v>
      </c>
      <c r="E121" s="46"/>
      <c r="F121" s="46"/>
      <c r="K121" s="66"/>
      <c r="L121" s="66"/>
      <c r="M121" s="66"/>
      <c r="N121" s="66"/>
      <c r="O121" s="66"/>
      <c r="P121" s="66"/>
      <c r="Q121" s="66"/>
      <c r="S121" s="66"/>
      <c r="T121" s="66"/>
      <c r="U121" s="66"/>
      <c r="V121" s="66"/>
      <c r="W121" s="66"/>
      <c r="X121" s="66"/>
      <c r="Y121" s="66"/>
      <c r="Z121" s="66"/>
      <c r="AA121" s="66"/>
      <c r="AB121" s="66"/>
      <c r="AC121" s="66"/>
      <c r="AD121" s="66"/>
      <c r="AE121" s="66"/>
      <c r="AF121" s="66"/>
    </row>
    <row r="122" spans="2:32" x14ac:dyDescent="0.2">
      <c r="B122" s="2" t="s">
        <v>36</v>
      </c>
      <c r="E122" s="46" t="s">
        <v>176</v>
      </c>
      <c r="F122" s="46"/>
      <c r="K122" s="66"/>
      <c r="L122" s="66"/>
      <c r="M122" s="66"/>
      <c r="N122" s="66"/>
      <c r="O122" s="66"/>
      <c r="P122" s="66"/>
      <c r="Q122" s="66"/>
      <c r="S122" s="66"/>
      <c r="T122" s="66"/>
      <c r="U122" s="66"/>
      <c r="V122" s="66"/>
      <c r="W122" s="66"/>
      <c r="X122" s="66"/>
      <c r="Y122" s="66"/>
      <c r="Z122" s="66"/>
      <c r="AA122" s="66"/>
      <c r="AB122" s="66"/>
      <c r="AC122" s="66"/>
      <c r="AD122" s="66"/>
      <c r="AE122" s="66"/>
      <c r="AF122" s="66"/>
    </row>
    <row r="123" spans="2:32" x14ac:dyDescent="0.2">
      <c r="B123" s="2" t="s">
        <v>247</v>
      </c>
      <c r="E123" s="46" t="s">
        <v>302</v>
      </c>
      <c r="F123" s="46"/>
      <c r="K123" s="66"/>
      <c r="L123" s="66"/>
      <c r="M123" s="66"/>
      <c r="N123" s="66"/>
      <c r="O123" s="66"/>
      <c r="P123" s="66"/>
      <c r="Q123" s="66"/>
      <c r="S123" s="66"/>
      <c r="T123" s="66"/>
      <c r="U123" s="66"/>
      <c r="V123" s="66"/>
      <c r="W123" s="66"/>
      <c r="X123" s="66"/>
      <c r="Y123" s="66"/>
      <c r="Z123" s="66"/>
      <c r="AA123" s="66"/>
      <c r="AB123" s="66"/>
      <c r="AC123" s="66"/>
      <c r="AD123" s="66"/>
      <c r="AE123" s="66"/>
      <c r="AF123" s="66"/>
    </row>
    <row r="124" spans="2:32" x14ac:dyDescent="0.2">
      <c r="B124" s="2" t="s">
        <v>37</v>
      </c>
      <c r="E124" s="46" t="s">
        <v>10</v>
      </c>
      <c r="F124" s="46"/>
      <c r="K124" s="66"/>
      <c r="L124" s="66"/>
      <c r="M124" s="66"/>
      <c r="N124" s="66"/>
      <c r="O124" s="66"/>
      <c r="P124" s="66"/>
      <c r="Q124" s="66"/>
      <c r="S124" s="66"/>
      <c r="T124" s="66"/>
      <c r="U124" s="66"/>
      <c r="V124" s="66"/>
      <c r="W124" s="66"/>
      <c r="X124" s="66"/>
      <c r="Y124" s="66"/>
      <c r="Z124" s="66"/>
      <c r="AA124" s="66"/>
      <c r="AB124" s="66"/>
      <c r="AC124" s="66"/>
      <c r="AD124" s="66"/>
      <c r="AE124" s="66"/>
      <c r="AF124" s="66"/>
    </row>
    <row r="125" spans="2:32" x14ac:dyDescent="0.2">
      <c r="B125" s="2" t="s">
        <v>303</v>
      </c>
      <c r="E125" s="46" t="s">
        <v>41</v>
      </c>
      <c r="F125" s="46"/>
      <c r="K125" s="66"/>
      <c r="L125" s="66"/>
      <c r="M125" s="66"/>
      <c r="N125" s="66"/>
      <c r="O125" s="66"/>
      <c r="P125" s="66"/>
      <c r="Q125" s="66"/>
      <c r="S125" s="66"/>
      <c r="T125" s="66"/>
      <c r="U125" s="66"/>
      <c r="V125" s="66"/>
      <c r="W125" s="66"/>
      <c r="X125" s="66"/>
      <c r="Y125" s="66"/>
      <c r="Z125" s="66"/>
      <c r="AA125" s="66"/>
      <c r="AB125" s="66"/>
      <c r="AC125" s="66"/>
      <c r="AD125" s="66"/>
      <c r="AE125" s="66"/>
      <c r="AF125" s="66"/>
    </row>
    <row r="126" spans="2:32" x14ac:dyDescent="0.2">
      <c r="B126" s="2" t="s">
        <v>304</v>
      </c>
      <c r="E126" s="46" t="s">
        <v>305</v>
      </c>
      <c r="F126" s="46"/>
      <c r="K126" s="66"/>
      <c r="L126" s="66"/>
      <c r="M126" s="66"/>
      <c r="N126" s="66"/>
      <c r="O126" s="66"/>
      <c r="P126" s="66"/>
      <c r="Q126" s="66"/>
      <c r="S126" s="66"/>
      <c r="T126" s="66"/>
      <c r="U126" s="66"/>
      <c r="V126" s="66"/>
      <c r="W126" s="66"/>
      <c r="X126" s="66"/>
      <c r="Y126" s="66"/>
      <c r="Z126" s="66"/>
      <c r="AA126" s="66"/>
      <c r="AB126" s="66"/>
      <c r="AC126" s="66"/>
      <c r="AD126" s="66"/>
      <c r="AE126" s="66"/>
      <c r="AF126" s="66"/>
    </row>
    <row r="127" spans="2:32" x14ac:dyDescent="0.2">
      <c r="B127" s="2" t="s">
        <v>306</v>
      </c>
      <c r="E127" s="46" t="s">
        <v>307</v>
      </c>
      <c r="F127" s="46"/>
      <c r="H127" s="76"/>
      <c r="K127" s="66"/>
      <c r="L127" s="66"/>
      <c r="M127" s="66"/>
      <c r="N127" s="66"/>
      <c r="O127" s="66"/>
      <c r="P127" s="66"/>
      <c r="Q127" s="66"/>
      <c r="S127" s="66"/>
      <c r="T127" s="66"/>
      <c r="U127" s="66"/>
      <c r="V127" s="66"/>
      <c r="W127" s="66"/>
      <c r="X127" s="66"/>
      <c r="Y127" s="66"/>
      <c r="Z127" s="66"/>
      <c r="AA127" s="66"/>
      <c r="AB127" s="66"/>
      <c r="AC127" s="66"/>
      <c r="AD127" s="66"/>
      <c r="AE127" s="66"/>
      <c r="AF127" s="66"/>
    </row>
    <row r="128" spans="2:32" x14ac:dyDescent="0.2">
      <c r="B128" s="2" t="s">
        <v>308</v>
      </c>
      <c r="E128" s="46">
        <v>689.5</v>
      </c>
      <c r="F128" s="46"/>
      <c r="K128" s="66"/>
      <c r="L128" s="66"/>
      <c r="M128" s="66"/>
      <c r="N128" s="66"/>
      <c r="O128" s="79"/>
      <c r="P128" s="79"/>
      <c r="Q128" s="79"/>
      <c r="R128" s="79"/>
      <c r="S128" s="66"/>
      <c r="T128" s="66"/>
      <c r="U128" s="66"/>
      <c r="V128" s="66"/>
      <c r="W128" s="66"/>
      <c r="X128" s="66"/>
      <c r="Y128" s="66"/>
      <c r="Z128" s="66"/>
      <c r="AA128" s="66"/>
      <c r="AB128" s="66"/>
      <c r="AC128" s="66"/>
      <c r="AD128" s="66"/>
      <c r="AE128" s="66"/>
      <c r="AF128" s="66"/>
    </row>
    <row r="129" spans="2:32" x14ac:dyDescent="0.2">
      <c r="K129" s="66"/>
      <c r="L129" s="66"/>
      <c r="M129" s="66"/>
      <c r="N129" s="66"/>
      <c r="O129" s="79"/>
      <c r="P129" s="79"/>
      <c r="Q129" s="79"/>
      <c r="R129" s="79"/>
      <c r="S129" s="66"/>
      <c r="T129" s="66"/>
      <c r="U129" s="66"/>
      <c r="V129" s="66"/>
      <c r="W129" s="66"/>
      <c r="X129" s="66"/>
      <c r="Y129" s="66"/>
      <c r="Z129" s="66"/>
      <c r="AA129" s="66"/>
      <c r="AB129" s="66"/>
      <c r="AC129" s="66"/>
      <c r="AD129" s="66"/>
      <c r="AE129" s="66"/>
      <c r="AF129" s="66"/>
    </row>
    <row r="130" spans="2:32" x14ac:dyDescent="0.2">
      <c r="K130" s="66"/>
      <c r="L130" s="66"/>
      <c r="M130" s="66"/>
      <c r="N130" s="66"/>
      <c r="O130" s="79"/>
      <c r="P130" s="79"/>
      <c r="Q130" s="79"/>
      <c r="R130" s="79"/>
      <c r="S130" s="66"/>
      <c r="T130" s="66"/>
      <c r="U130" s="66"/>
      <c r="V130" s="66"/>
      <c r="W130" s="66"/>
      <c r="X130" s="66"/>
      <c r="Y130" s="66"/>
      <c r="Z130" s="66"/>
      <c r="AA130" s="66"/>
      <c r="AB130" s="66"/>
      <c r="AC130" s="66"/>
      <c r="AD130" s="66"/>
      <c r="AE130" s="66"/>
      <c r="AF130" s="66"/>
    </row>
    <row r="131" spans="2:32" x14ac:dyDescent="0.2">
      <c r="B131" s="52" t="s">
        <v>309</v>
      </c>
      <c r="K131" s="66"/>
      <c r="L131" s="66"/>
      <c r="M131" s="66"/>
      <c r="N131" s="66"/>
      <c r="O131" s="79"/>
      <c r="P131" s="79"/>
      <c r="Q131" s="79"/>
      <c r="R131" s="79"/>
      <c r="S131" s="66"/>
      <c r="T131" s="66"/>
      <c r="U131" s="66"/>
      <c r="V131" s="66"/>
      <c r="W131" s="66"/>
      <c r="X131" s="66"/>
      <c r="Y131" s="66"/>
      <c r="Z131" s="66"/>
      <c r="AA131" s="66"/>
      <c r="AB131" s="66"/>
      <c r="AC131" s="66"/>
      <c r="AD131" s="66"/>
      <c r="AE131" s="66"/>
      <c r="AF131" s="66"/>
    </row>
    <row r="132" spans="2:32" x14ac:dyDescent="0.2">
      <c r="K132" s="66"/>
      <c r="L132" s="66"/>
      <c r="M132" s="66"/>
      <c r="N132" s="66"/>
      <c r="O132" s="66"/>
      <c r="P132" s="66"/>
      <c r="Q132" s="66"/>
      <c r="S132" s="66"/>
      <c r="T132" s="66"/>
      <c r="U132" s="66"/>
      <c r="V132" s="66"/>
      <c r="W132" s="66"/>
      <c r="X132" s="66"/>
      <c r="Y132" s="66"/>
      <c r="Z132" s="66"/>
      <c r="AA132" s="66"/>
      <c r="AB132" s="66"/>
      <c r="AC132" s="66"/>
      <c r="AD132" s="66"/>
      <c r="AE132" s="66"/>
      <c r="AF132" s="66"/>
    </row>
    <row r="133" spans="2:32" x14ac:dyDescent="0.2">
      <c r="B133" s="2" t="s">
        <v>243</v>
      </c>
      <c r="C133" s="77"/>
      <c r="D133" s="46"/>
      <c r="E133" s="46"/>
      <c r="F133" s="46"/>
      <c r="K133" s="66"/>
      <c r="L133" s="66"/>
      <c r="M133" s="66"/>
      <c r="N133" s="66"/>
      <c r="O133" s="66"/>
      <c r="P133" s="66"/>
      <c r="Q133" s="66"/>
      <c r="S133" s="66"/>
      <c r="T133" s="66"/>
      <c r="U133" s="66"/>
      <c r="V133" s="66"/>
      <c r="W133" s="66"/>
      <c r="X133" s="66"/>
      <c r="Y133" s="66"/>
      <c r="Z133" s="66"/>
      <c r="AA133" s="66"/>
      <c r="AB133" s="66"/>
      <c r="AC133" s="66"/>
      <c r="AD133" s="66"/>
      <c r="AE133" s="66"/>
      <c r="AF133" s="66"/>
    </row>
    <row r="134" spans="2:32" x14ac:dyDescent="0.2">
      <c r="B134" s="2" t="s">
        <v>244</v>
      </c>
      <c r="C134" s="77"/>
      <c r="D134" s="46">
        <v>0.94089999999999996</v>
      </c>
      <c r="E134" s="46">
        <v>0.91739999999999999</v>
      </c>
      <c r="F134" s="46"/>
    </row>
    <row r="135" spans="2:32" x14ac:dyDescent="0.2">
      <c r="B135" s="2" t="s">
        <v>36</v>
      </c>
      <c r="C135" s="77"/>
      <c r="D135" s="46">
        <v>0.10580000000000001</v>
      </c>
      <c r="E135" s="46" t="s">
        <v>176</v>
      </c>
      <c r="F135" s="46"/>
    </row>
    <row r="136" spans="2:32" x14ac:dyDescent="0.2">
      <c r="B136" s="2" t="s">
        <v>245</v>
      </c>
      <c r="C136" s="77"/>
      <c r="D136" s="46" t="s">
        <v>41</v>
      </c>
      <c r="E136" s="46" t="s">
        <v>49</v>
      </c>
      <c r="F136" s="46"/>
    </row>
    <row r="137" spans="2:32" x14ac:dyDescent="0.2">
      <c r="B137" s="2" t="s">
        <v>37</v>
      </c>
      <c r="C137" s="77"/>
      <c r="D137" s="46" t="s">
        <v>9</v>
      </c>
      <c r="E137" s="46" t="s">
        <v>10</v>
      </c>
      <c r="F137" s="46"/>
    </row>
    <row r="139" spans="2:32" x14ac:dyDescent="0.2">
      <c r="B139" s="2" t="s">
        <v>301</v>
      </c>
      <c r="E139" s="46"/>
      <c r="F139" s="46"/>
    </row>
    <row r="140" spans="2:32" x14ac:dyDescent="0.2">
      <c r="B140" s="2" t="s">
        <v>36</v>
      </c>
      <c r="E140" s="46" t="s">
        <v>176</v>
      </c>
      <c r="F140" s="46"/>
    </row>
    <row r="141" spans="2:32" x14ac:dyDescent="0.2">
      <c r="B141" s="2" t="s">
        <v>247</v>
      </c>
      <c r="E141" s="46" t="s">
        <v>302</v>
      </c>
      <c r="F141" s="46"/>
    </row>
    <row r="142" spans="2:32" x14ac:dyDescent="0.2">
      <c r="B142" s="2" t="s">
        <v>37</v>
      </c>
      <c r="E142" s="46" t="s">
        <v>10</v>
      </c>
      <c r="F142" s="46"/>
    </row>
    <row r="143" spans="2:32" x14ac:dyDescent="0.2">
      <c r="B143" s="2" t="s">
        <v>303</v>
      </c>
      <c r="E143" s="46" t="s">
        <v>41</v>
      </c>
      <c r="F143" s="46"/>
    </row>
    <row r="144" spans="2:32" x14ac:dyDescent="0.2">
      <c r="B144" s="2" t="s">
        <v>304</v>
      </c>
      <c r="E144" s="46" t="s">
        <v>305</v>
      </c>
      <c r="F144" s="46"/>
    </row>
    <row r="145" spans="2:6" x14ac:dyDescent="0.2">
      <c r="B145" s="2" t="s">
        <v>306</v>
      </c>
      <c r="E145" s="46" t="s">
        <v>310</v>
      </c>
      <c r="F145" s="46"/>
    </row>
    <row r="146" spans="2:6" x14ac:dyDescent="0.2">
      <c r="B146" s="2" t="s">
        <v>308</v>
      </c>
      <c r="E146" s="46">
        <v>682.5</v>
      </c>
      <c r="F146" s="46"/>
    </row>
    <row r="149" spans="2:6" x14ac:dyDescent="0.2">
      <c r="B149" s="52" t="s">
        <v>311</v>
      </c>
    </row>
    <row r="151" spans="2:6" x14ac:dyDescent="0.2">
      <c r="B151" s="2" t="s">
        <v>243</v>
      </c>
      <c r="C151" s="1"/>
      <c r="D151" s="1"/>
    </row>
    <row r="152" spans="2:6" x14ac:dyDescent="0.2">
      <c r="B152" s="2" t="s">
        <v>244</v>
      </c>
      <c r="D152" s="46">
        <v>0.9002</v>
      </c>
      <c r="E152" s="46">
        <v>0.95440000000000003</v>
      </c>
      <c r="F152" s="46"/>
    </row>
    <row r="153" spans="2:6" x14ac:dyDescent="0.2">
      <c r="B153" s="2" t="s">
        <v>36</v>
      </c>
      <c r="D153" s="46">
        <v>9.9000000000000008E-3</v>
      </c>
      <c r="E153" s="46">
        <v>3.2000000000000002E-3</v>
      </c>
      <c r="F153" s="46"/>
    </row>
    <row r="154" spans="2:6" x14ac:dyDescent="0.2">
      <c r="B154" s="2" t="s">
        <v>245</v>
      </c>
      <c r="D154" s="46" t="s">
        <v>49</v>
      </c>
      <c r="E154" s="46" t="s">
        <v>49</v>
      </c>
      <c r="F154" s="46"/>
    </row>
    <row r="155" spans="2:6" x14ac:dyDescent="0.2">
      <c r="B155" s="2" t="s">
        <v>37</v>
      </c>
      <c r="D155" s="46" t="s">
        <v>11</v>
      </c>
      <c r="E155" s="46" t="s">
        <v>11</v>
      </c>
      <c r="F155" s="46"/>
    </row>
    <row r="157" spans="2:6" x14ac:dyDescent="0.2">
      <c r="B157" s="2" t="s">
        <v>301</v>
      </c>
      <c r="E157" s="46"/>
      <c r="F157" s="46"/>
    </row>
    <row r="158" spans="2:6" x14ac:dyDescent="0.2">
      <c r="B158" s="2" t="s">
        <v>36</v>
      </c>
      <c r="E158" s="46">
        <v>5.8999999999999997E-2</v>
      </c>
      <c r="F158" s="46"/>
    </row>
    <row r="159" spans="2:6" x14ac:dyDescent="0.2">
      <c r="B159" s="2" t="s">
        <v>247</v>
      </c>
      <c r="E159" s="46" t="s">
        <v>302</v>
      </c>
      <c r="F159" s="46"/>
    </row>
    <row r="160" spans="2:6" x14ac:dyDescent="0.2">
      <c r="B160" s="2" t="s">
        <v>37</v>
      </c>
      <c r="E160" s="46" t="s">
        <v>9</v>
      </c>
      <c r="F160" s="46"/>
    </row>
    <row r="161" spans="2:6" x14ac:dyDescent="0.2">
      <c r="B161" s="2" t="s">
        <v>303</v>
      </c>
      <c r="E161" s="46" t="s">
        <v>49</v>
      </c>
      <c r="F161" s="46"/>
    </row>
    <row r="162" spans="2:6" x14ac:dyDescent="0.2">
      <c r="B162" s="2" t="s">
        <v>304</v>
      </c>
      <c r="E162" s="46" t="s">
        <v>305</v>
      </c>
      <c r="F162" s="46"/>
    </row>
    <row r="163" spans="2:6" x14ac:dyDescent="0.2">
      <c r="B163" s="2" t="s">
        <v>306</v>
      </c>
      <c r="E163" s="46" t="s">
        <v>315</v>
      </c>
      <c r="F163" s="46"/>
    </row>
    <row r="164" spans="2:6" x14ac:dyDescent="0.2">
      <c r="B164" s="2" t="s">
        <v>308</v>
      </c>
      <c r="E164" s="46">
        <v>1000</v>
      </c>
      <c r="F164" s="46"/>
    </row>
    <row r="167" spans="2:6" x14ac:dyDescent="0.2">
      <c r="B167" s="52" t="s">
        <v>316</v>
      </c>
    </row>
    <row r="169" spans="2:6" x14ac:dyDescent="0.2">
      <c r="B169" s="2" t="s">
        <v>243</v>
      </c>
      <c r="C169" s="1"/>
      <c r="D169" s="1"/>
    </row>
    <row r="170" spans="2:6" x14ac:dyDescent="0.2">
      <c r="B170" s="2" t="s">
        <v>244</v>
      </c>
      <c r="D170" s="46">
        <v>0.70979999999999999</v>
      </c>
      <c r="E170" s="46">
        <v>0.9375</v>
      </c>
      <c r="F170" s="46"/>
    </row>
    <row r="171" spans="2:6" x14ac:dyDescent="0.2">
      <c r="B171" s="2" t="s">
        <v>36</v>
      </c>
      <c r="D171" s="46" t="s">
        <v>176</v>
      </c>
      <c r="E171" s="46">
        <v>2.9999999999999997E-4</v>
      </c>
      <c r="F171" s="46"/>
    </row>
    <row r="172" spans="2:6" x14ac:dyDescent="0.2">
      <c r="B172" s="2" t="s">
        <v>245</v>
      </c>
      <c r="D172" s="46" t="s">
        <v>49</v>
      </c>
      <c r="E172" s="46" t="s">
        <v>49</v>
      </c>
      <c r="F172" s="46"/>
    </row>
    <row r="173" spans="2:6" x14ac:dyDescent="0.2">
      <c r="B173" s="2" t="s">
        <v>37</v>
      </c>
      <c r="D173" s="46" t="s">
        <v>10</v>
      </c>
      <c r="E173" s="46" t="s">
        <v>10</v>
      </c>
      <c r="F173" s="46"/>
    </row>
    <row r="175" spans="2:6" x14ac:dyDescent="0.2">
      <c r="B175" s="2" t="s">
        <v>301</v>
      </c>
      <c r="C175" s="1"/>
      <c r="E175" s="46"/>
      <c r="F175" s="46"/>
    </row>
    <row r="176" spans="2:6" x14ac:dyDescent="0.2">
      <c r="B176" s="2" t="s">
        <v>36</v>
      </c>
      <c r="E176" s="46">
        <v>0.63870000000000005</v>
      </c>
      <c r="F176" s="46"/>
    </row>
    <row r="177" spans="2:6" x14ac:dyDescent="0.2">
      <c r="B177" s="2" t="s">
        <v>247</v>
      </c>
      <c r="E177" s="46" t="s">
        <v>302</v>
      </c>
      <c r="F177" s="46"/>
    </row>
    <row r="178" spans="2:6" x14ac:dyDescent="0.2">
      <c r="B178" s="2" t="s">
        <v>37</v>
      </c>
      <c r="E178" s="46" t="s">
        <v>9</v>
      </c>
      <c r="F178" s="46"/>
    </row>
    <row r="179" spans="2:6" x14ac:dyDescent="0.2">
      <c r="B179" s="2" t="s">
        <v>303</v>
      </c>
      <c r="E179" s="46" t="s">
        <v>49</v>
      </c>
      <c r="F179" s="46"/>
    </row>
    <row r="180" spans="2:6" x14ac:dyDescent="0.2">
      <c r="B180" s="2" t="s">
        <v>304</v>
      </c>
      <c r="E180" s="46" t="s">
        <v>305</v>
      </c>
      <c r="F180" s="46"/>
    </row>
    <row r="181" spans="2:6" x14ac:dyDescent="0.2">
      <c r="B181" s="2" t="s">
        <v>306</v>
      </c>
      <c r="E181" s="46" t="s">
        <v>317</v>
      </c>
      <c r="F181" s="46"/>
    </row>
    <row r="182" spans="2:6" x14ac:dyDescent="0.2">
      <c r="B182" s="2" t="s">
        <v>308</v>
      </c>
      <c r="E182" s="46">
        <v>1229</v>
      </c>
      <c r="F182" s="46"/>
    </row>
    <row r="185" spans="2:6" x14ac:dyDescent="0.2">
      <c r="B185" s="52" t="s">
        <v>318</v>
      </c>
    </row>
    <row r="187" spans="2:6" x14ac:dyDescent="0.2">
      <c r="B187" s="2" t="s">
        <v>243</v>
      </c>
      <c r="D187" s="46"/>
      <c r="E187" s="46"/>
      <c r="F187" s="46"/>
    </row>
    <row r="188" spans="2:6" x14ac:dyDescent="0.2">
      <c r="B188" s="2" t="s">
        <v>244</v>
      </c>
      <c r="D188" s="46">
        <v>0.73319999999999996</v>
      </c>
      <c r="E188" s="46">
        <v>0.94159999999999999</v>
      </c>
      <c r="F188" s="46"/>
    </row>
    <row r="189" spans="2:6" x14ac:dyDescent="0.2">
      <c r="B189" s="2" t="s">
        <v>36</v>
      </c>
      <c r="D189" s="46" t="s">
        <v>176</v>
      </c>
      <c r="E189" s="46">
        <v>5.0000000000000001E-4</v>
      </c>
      <c r="F189" s="46"/>
    </row>
    <row r="190" spans="2:6" x14ac:dyDescent="0.2">
      <c r="B190" s="2" t="s">
        <v>245</v>
      </c>
      <c r="D190" s="46" t="s">
        <v>49</v>
      </c>
      <c r="E190" s="46" t="s">
        <v>49</v>
      </c>
      <c r="F190" s="46"/>
    </row>
    <row r="191" spans="2:6" x14ac:dyDescent="0.2">
      <c r="B191" s="2" t="s">
        <v>37</v>
      </c>
      <c r="D191" s="46" t="s">
        <v>177</v>
      </c>
      <c r="E191" s="46" t="s">
        <v>10</v>
      </c>
      <c r="F191" s="46"/>
    </row>
    <row r="193" spans="2:6" x14ac:dyDescent="0.2">
      <c r="B193" s="2" t="s">
        <v>301</v>
      </c>
      <c r="E193" s="46"/>
      <c r="F193" s="46"/>
    </row>
    <row r="194" spans="2:6" x14ac:dyDescent="0.2">
      <c r="B194" s="2" t="s">
        <v>36</v>
      </c>
      <c r="E194" s="46">
        <v>0.21179999999999999</v>
      </c>
      <c r="F194" s="46"/>
    </row>
    <row r="195" spans="2:6" x14ac:dyDescent="0.2">
      <c r="B195" s="2" t="s">
        <v>247</v>
      </c>
      <c r="E195" s="46" t="s">
        <v>302</v>
      </c>
      <c r="F195" s="46"/>
    </row>
    <row r="196" spans="2:6" x14ac:dyDescent="0.2">
      <c r="B196" s="2" t="s">
        <v>37</v>
      </c>
      <c r="E196" s="46" t="s">
        <v>9</v>
      </c>
      <c r="F196" s="46"/>
    </row>
    <row r="197" spans="2:6" x14ac:dyDescent="0.2">
      <c r="B197" s="2" t="s">
        <v>303</v>
      </c>
      <c r="E197" s="46" t="s">
        <v>49</v>
      </c>
      <c r="F197" s="46"/>
    </row>
    <row r="198" spans="2:6" x14ac:dyDescent="0.2">
      <c r="B198" s="2" t="s">
        <v>304</v>
      </c>
      <c r="E198" s="46" t="s">
        <v>305</v>
      </c>
      <c r="F198" s="46"/>
    </row>
    <row r="199" spans="2:6" x14ac:dyDescent="0.2">
      <c r="B199" s="2" t="s">
        <v>306</v>
      </c>
      <c r="E199" s="46" t="s">
        <v>319</v>
      </c>
      <c r="F199" s="46"/>
    </row>
    <row r="200" spans="2:6" x14ac:dyDescent="0.2">
      <c r="B200" s="2" t="s">
        <v>308</v>
      </c>
      <c r="E200" s="46">
        <v>1103</v>
      </c>
      <c r="F200" s="46"/>
    </row>
    <row r="203" spans="2:6" x14ac:dyDescent="0.2">
      <c r="B203" s="52" t="s">
        <v>318</v>
      </c>
    </row>
    <row r="205" spans="2:6" x14ac:dyDescent="0.2">
      <c r="B205" s="2" t="s">
        <v>243</v>
      </c>
      <c r="D205" s="46"/>
      <c r="E205" s="46"/>
      <c r="F205" s="46"/>
    </row>
    <row r="206" spans="2:6" x14ac:dyDescent="0.2">
      <c r="B206" s="2" t="s">
        <v>244</v>
      </c>
      <c r="D206" s="46">
        <v>0.70609999999999995</v>
      </c>
      <c r="E206" s="46">
        <v>0.94950000000000001</v>
      </c>
      <c r="F206" s="46"/>
    </row>
    <row r="207" spans="2:6" x14ac:dyDescent="0.2">
      <c r="B207" s="2" t="s">
        <v>36</v>
      </c>
      <c r="D207" s="46" t="s">
        <v>176</v>
      </c>
      <c r="E207" s="46">
        <v>1.6000000000000001E-3</v>
      </c>
      <c r="F207" s="46"/>
    </row>
    <row r="208" spans="2:6" x14ac:dyDescent="0.2">
      <c r="B208" s="2" t="s">
        <v>245</v>
      </c>
      <c r="D208" s="46" t="s">
        <v>49</v>
      </c>
      <c r="E208" s="46" t="s">
        <v>49</v>
      </c>
      <c r="F208" s="46"/>
    </row>
    <row r="209" spans="2:6" x14ac:dyDescent="0.2">
      <c r="B209" s="2" t="s">
        <v>37</v>
      </c>
      <c r="D209" s="46" t="s">
        <v>177</v>
      </c>
      <c r="E209" s="46" t="s">
        <v>11</v>
      </c>
      <c r="F209" s="46"/>
    </row>
    <row r="211" spans="2:6" x14ac:dyDescent="0.2">
      <c r="B211" s="2" t="s">
        <v>301</v>
      </c>
      <c r="E211" s="46"/>
      <c r="F211" s="46"/>
    </row>
    <row r="212" spans="2:6" x14ac:dyDescent="0.2">
      <c r="B212" s="2" t="s">
        <v>36</v>
      </c>
      <c r="E212" s="46">
        <v>0.28799999999999998</v>
      </c>
      <c r="F212" s="46"/>
    </row>
    <row r="213" spans="2:6" x14ac:dyDescent="0.2">
      <c r="B213" s="2" t="s">
        <v>247</v>
      </c>
      <c r="E213" s="46" t="s">
        <v>302</v>
      </c>
      <c r="F213" s="46"/>
    </row>
    <row r="214" spans="2:6" x14ac:dyDescent="0.2">
      <c r="B214" s="2" t="s">
        <v>37</v>
      </c>
      <c r="E214" s="46" t="s">
        <v>9</v>
      </c>
      <c r="F214" s="46"/>
    </row>
    <row r="215" spans="2:6" x14ac:dyDescent="0.2">
      <c r="B215" s="2" t="s">
        <v>303</v>
      </c>
      <c r="E215" s="46" t="s">
        <v>49</v>
      </c>
      <c r="F215" s="46"/>
    </row>
    <row r="216" spans="2:6" x14ac:dyDescent="0.2">
      <c r="B216" s="2" t="s">
        <v>304</v>
      </c>
      <c r="E216" s="46" t="s">
        <v>305</v>
      </c>
      <c r="F216" s="46"/>
    </row>
    <row r="217" spans="2:6" x14ac:dyDescent="0.2">
      <c r="B217" s="2" t="s">
        <v>306</v>
      </c>
      <c r="E217" s="46" t="s">
        <v>320</v>
      </c>
      <c r="F217" s="46"/>
    </row>
    <row r="218" spans="2:6" x14ac:dyDescent="0.2">
      <c r="B218" s="2" t="s">
        <v>308</v>
      </c>
      <c r="E218" s="46">
        <v>1133</v>
      </c>
      <c r="F218" s="46"/>
    </row>
  </sheetData>
  <mergeCells count="16">
    <mergeCell ref="B8:E8"/>
    <mergeCell ref="H8:K8"/>
    <mergeCell ref="N8:Q8"/>
    <mergeCell ref="T8:W8"/>
    <mergeCell ref="B9:E9"/>
    <mergeCell ref="H9:K9"/>
    <mergeCell ref="N9:Q9"/>
    <mergeCell ref="T9:W9"/>
    <mergeCell ref="B102:E102"/>
    <mergeCell ref="H102:K102"/>
    <mergeCell ref="N102:Q102"/>
    <mergeCell ref="T102:W102"/>
    <mergeCell ref="B103:E103"/>
    <mergeCell ref="H103:K103"/>
    <mergeCell ref="N103:Q103"/>
    <mergeCell ref="T103:W103"/>
  </mergeCells>
  <pageMargins left="0.7" right="0.7" top="0.78740157499999996" bottom="0.78740157499999996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2:X161"/>
  <sheetViews>
    <sheetView zoomScale="82" zoomScaleNormal="82" zoomScalePageLayoutView="82" workbookViewId="0">
      <selection activeCell="A3" sqref="A3"/>
    </sheetView>
  </sheetViews>
  <sheetFormatPr baseColWidth="10" defaultRowHeight="16" x14ac:dyDescent="0.2"/>
  <cols>
    <col min="2" max="2" width="10.1640625" bestFit="1" customWidth="1"/>
    <col min="3" max="5" width="12.33203125" bestFit="1" customWidth="1"/>
    <col min="6" max="6" width="12.33203125" customWidth="1"/>
    <col min="8" max="8" width="10.1640625" bestFit="1" customWidth="1"/>
    <col min="9" max="11" width="12.33203125" bestFit="1" customWidth="1"/>
    <col min="16" max="16" width="11.5" customWidth="1"/>
    <col min="17" max="17" width="12.5" customWidth="1"/>
  </cols>
  <sheetData>
    <row r="2" spans="1:13" ht="18" x14ac:dyDescent="0.2">
      <c r="A2" s="53" t="s">
        <v>1182</v>
      </c>
      <c r="B2" s="8"/>
      <c r="C2" s="8"/>
    </row>
    <row r="3" spans="1:13" s="66" customFormat="1" ht="18" x14ac:dyDescent="0.2">
      <c r="A3" s="80"/>
      <c r="B3" s="42"/>
      <c r="C3" s="42"/>
    </row>
    <row r="4" spans="1:13" ht="21" x14ac:dyDescent="0.25">
      <c r="A4" s="14" t="s">
        <v>925</v>
      </c>
      <c r="B4" s="14"/>
      <c r="C4" s="14"/>
      <c r="D4" s="14"/>
      <c r="E4" s="14"/>
      <c r="F4" s="93"/>
    </row>
    <row r="5" spans="1:13" ht="18" x14ac:dyDescent="0.2">
      <c r="B5" s="93"/>
      <c r="C5" s="93"/>
      <c r="D5" s="93"/>
      <c r="F5" s="66"/>
    </row>
    <row r="6" spans="1:13" x14ac:dyDescent="0.2">
      <c r="F6" s="66"/>
    </row>
    <row r="7" spans="1:13" x14ac:dyDescent="0.2">
      <c r="B7" s="517" t="s">
        <v>1</v>
      </c>
      <c r="C7" s="518"/>
      <c r="D7" s="518"/>
      <c r="E7" s="519"/>
      <c r="F7" s="188"/>
      <c r="H7" s="517" t="s">
        <v>296</v>
      </c>
      <c r="I7" s="518"/>
      <c r="J7" s="518"/>
      <c r="K7" s="519"/>
    </row>
    <row r="8" spans="1:13" x14ac:dyDescent="0.2">
      <c r="B8" s="69" t="s">
        <v>162</v>
      </c>
      <c r="C8" s="69" t="s">
        <v>297</v>
      </c>
      <c r="D8" s="69" t="s">
        <v>298</v>
      </c>
      <c r="E8" s="69" t="s">
        <v>299</v>
      </c>
      <c r="F8" s="189"/>
      <c r="G8" s="36"/>
      <c r="H8" s="69" t="s">
        <v>162</v>
      </c>
      <c r="I8" s="103" t="s">
        <v>297</v>
      </c>
      <c r="J8" s="103" t="s">
        <v>298</v>
      </c>
      <c r="K8" s="103" t="s">
        <v>299</v>
      </c>
      <c r="M8" s="76"/>
    </row>
    <row r="9" spans="1:13" x14ac:dyDescent="0.2">
      <c r="A9" s="17" t="s">
        <v>707</v>
      </c>
      <c r="B9" s="17">
        <v>1</v>
      </c>
      <c r="C9" s="105">
        <v>1.7375</v>
      </c>
      <c r="D9" s="105">
        <v>1.65</v>
      </c>
      <c r="E9" s="105">
        <v>0.89</v>
      </c>
      <c r="F9" s="190"/>
      <c r="G9" s="17" t="s">
        <v>2</v>
      </c>
      <c r="H9" s="17">
        <v>1</v>
      </c>
      <c r="I9" s="13">
        <v>1.99</v>
      </c>
      <c r="J9" s="13">
        <v>1.7</v>
      </c>
      <c r="K9" s="13">
        <v>0.88749999999999996</v>
      </c>
    </row>
    <row r="10" spans="1:13" x14ac:dyDescent="0.2">
      <c r="A10" s="17" t="s">
        <v>707</v>
      </c>
      <c r="B10" s="17">
        <v>2</v>
      </c>
      <c r="C10" s="105">
        <v>1.7424999999999999</v>
      </c>
      <c r="D10" s="105">
        <v>1.54</v>
      </c>
      <c r="E10" s="105">
        <v>0.89</v>
      </c>
      <c r="F10" s="190"/>
      <c r="G10" s="17" t="s">
        <v>2</v>
      </c>
      <c r="H10" s="17">
        <v>2</v>
      </c>
      <c r="I10" s="13">
        <v>1.7949999999999999</v>
      </c>
      <c r="J10" s="13">
        <v>1.5940000000000001</v>
      </c>
      <c r="K10" s="13">
        <v>0.90249999999999997</v>
      </c>
    </row>
    <row r="11" spans="1:13" x14ac:dyDescent="0.2">
      <c r="A11" s="17" t="s">
        <v>707</v>
      </c>
      <c r="B11" s="17">
        <v>3</v>
      </c>
      <c r="C11" s="105">
        <v>1.5974999999999999</v>
      </c>
      <c r="D11" s="105">
        <v>1.46</v>
      </c>
      <c r="E11" s="105">
        <v>0.71399999999999997</v>
      </c>
      <c r="F11" s="190"/>
      <c r="G11" s="17" t="s">
        <v>2</v>
      </c>
      <c r="H11" s="17">
        <v>3</v>
      </c>
      <c r="I11" s="13">
        <v>2.6124999999999998</v>
      </c>
      <c r="J11" s="13">
        <v>1.718</v>
      </c>
      <c r="K11" s="13">
        <v>0.748</v>
      </c>
    </row>
    <row r="12" spans="1:13" x14ac:dyDescent="0.2">
      <c r="A12" s="17" t="s">
        <v>707</v>
      </c>
      <c r="B12" s="17">
        <v>4</v>
      </c>
      <c r="C12" s="105">
        <v>1.77</v>
      </c>
      <c r="D12" s="105">
        <v>1.518</v>
      </c>
      <c r="E12" s="105">
        <v>0.88500000000000001</v>
      </c>
      <c r="F12" s="190"/>
      <c r="G12" s="17" t="s">
        <v>2</v>
      </c>
      <c r="H12" s="17">
        <v>4</v>
      </c>
      <c r="I12" s="13">
        <v>1.7675000000000001</v>
      </c>
      <c r="J12" s="13">
        <v>1.482</v>
      </c>
      <c r="K12" s="13">
        <v>0.88249999999999995</v>
      </c>
    </row>
    <row r="13" spans="1:13" x14ac:dyDescent="0.2">
      <c r="A13" s="17" t="s">
        <v>707</v>
      </c>
      <c r="B13" s="17">
        <v>5</v>
      </c>
      <c r="C13" s="105">
        <v>1.8174999999999999</v>
      </c>
      <c r="D13" s="105">
        <v>1.69</v>
      </c>
      <c r="E13" s="105">
        <v>0.83750000000000002</v>
      </c>
      <c r="F13" s="190"/>
      <c r="G13" s="17" t="s">
        <v>2</v>
      </c>
      <c r="H13" s="17">
        <v>5</v>
      </c>
      <c r="I13" s="13">
        <v>1.9524999999999999</v>
      </c>
      <c r="J13" s="13">
        <v>1.7</v>
      </c>
      <c r="K13" s="13">
        <v>0.9375</v>
      </c>
    </row>
    <row r="14" spans="1:13" x14ac:dyDescent="0.2">
      <c r="A14" s="17" t="s">
        <v>707</v>
      </c>
      <c r="B14" s="17">
        <v>6</v>
      </c>
      <c r="C14" s="105">
        <v>1.615</v>
      </c>
      <c r="D14" s="105">
        <v>1.512</v>
      </c>
      <c r="E14" s="105">
        <v>0.89249999999999996</v>
      </c>
      <c r="F14" s="190"/>
      <c r="G14" s="17" t="s">
        <v>2</v>
      </c>
      <c r="H14" s="17">
        <v>6</v>
      </c>
      <c r="I14" s="13">
        <v>2.1274999999999999</v>
      </c>
      <c r="J14" s="13">
        <v>1.8</v>
      </c>
      <c r="K14" s="13">
        <v>0.92666666666666697</v>
      </c>
    </row>
    <row r="15" spans="1:13" x14ac:dyDescent="0.2">
      <c r="A15" s="17" t="s">
        <v>707</v>
      </c>
      <c r="B15" s="17">
        <v>7</v>
      </c>
      <c r="C15" s="105">
        <v>1.7675000000000001</v>
      </c>
      <c r="D15" s="105">
        <v>1.486</v>
      </c>
      <c r="E15" s="105">
        <v>0.87749999999999995</v>
      </c>
      <c r="F15" s="190"/>
      <c r="G15" s="17" t="s">
        <v>2</v>
      </c>
      <c r="H15" s="17">
        <v>7</v>
      </c>
      <c r="I15" s="13">
        <v>2.6025</v>
      </c>
      <c r="J15" s="13">
        <v>1.68</v>
      </c>
      <c r="K15" s="13">
        <v>0.88249999999999995</v>
      </c>
    </row>
    <row r="16" spans="1:13" x14ac:dyDescent="0.2">
      <c r="A16" s="17" t="s">
        <v>707</v>
      </c>
      <c r="B16" s="17">
        <v>8</v>
      </c>
      <c r="C16" s="105">
        <v>1.7175</v>
      </c>
      <c r="D16" s="105">
        <v>1.5840000000000001</v>
      </c>
      <c r="E16" s="105">
        <v>0.89500000000000002</v>
      </c>
      <c r="F16" s="190"/>
      <c r="G16" s="17" t="s">
        <v>2</v>
      </c>
      <c r="H16" s="17">
        <v>8</v>
      </c>
      <c r="I16" s="13">
        <v>1.85</v>
      </c>
      <c r="J16" s="13">
        <v>1.6539999999999999</v>
      </c>
      <c r="K16" s="13">
        <v>0.91249999999999998</v>
      </c>
    </row>
    <row r="17" spans="1:11" x14ac:dyDescent="0.2">
      <c r="A17" s="17" t="s">
        <v>707</v>
      </c>
      <c r="B17" s="17">
        <v>9</v>
      </c>
      <c r="C17" s="105">
        <v>1.5725</v>
      </c>
      <c r="D17" s="105">
        <v>1.4</v>
      </c>
      <c r="E17" s="105">
        <v>0.88500000000000001</v>
      </c>
      <c r="F17" s="190"/>
      <c r="G17" s="17" t="s">
        <v>2</v>
      </c>
      <c r="H17" s="17">
        <v>9</v>
      </c>
      <c r="I17" s="13">
        <v>2.0225</v>
      </c>
      <c r="J17" s="13">
        <v>1.802</v>
      </c>
      <c r="K17" s="13">
        <v>0.91500000000000004</v>
      </c>
    </row>
    <row r="18" spans="1:11" x14ac:dyDescent="0.2">
      <c r="A18" s="17" t="s">
        <v>707</v>
      </c>
      <c r="B18" s="17">
        <v>10</v>
      </c>
      <c r="C18" s="105">
        <v>1.7475000000000001</v>
      </c>
      <c r="D18" s="105">
        <v>1.5760000000000001</v>
      </c>
      <c r="E18" s="105">
        <v>0.88500000000000001</v>
      </c>
      <c r="F18" s="190"/>
      <c r="G18" s="17" t="s">
        <v>2</v>
      </c>
      <c r="H18" s="17">
        <v>10</v>
      </c>
      <c r="I18" s="13">
        <v>3.1850000000000001</v>
      </c>
      <c r="J18" s="13">
        <v>1.5640000000000001</v>
      </c>
      <c r="K18" s="13">
        <v>0.91</v>
      </c>
    </row>
    <row r="19" spans="1:11" x14ac:dyDescent="0.2">
      <c r="A19" s="17" t="s">
        <v>707</v>
      </c>
      <c r="B19" s="17">
        <v>11</v>
      </c>
      <c r="C19" s="105">
        <v>1.8274999999999999</v>
      </c>
      <c r="D19" s="105">
        <v>1.53</v>
      </c>
      <c r="E19" s="105">
        <v>0.89249999999999996</v>
      </c>
      <c r="F19" s="190"/>
      <c r="G19" s="17" t="s">
        <v>2</v>
      </c>
      <c r="H19" s="17">
        <v>11</v>
      </c>
      <c r="I19" s="13">
        <v>1.65</v>
      </c>
      <c r="J19" s="13">
        <v>1.444</v>
      </c>
      <c r="K19" s="13">
        <v>0.91</v>
      </c>
    </row>
    <row r="20" spans="1:11" x14ac:dyDescent="0.2">
      <c r="A20" s="17" t="s">
        <v>707</v>
      </c>
      <c r="B20" s="17">
        <v>12</v>
      </c>
      <c r="C20" s="105">
        <v>1.7875000000000001</v>
      </c>
      <c r="D20" s="105">
        <v>1.4219999999999999</v>
      </c>
      <c r="E20" s="105">
        <v>1.1475</v>
      </c>
      <c r="F20" s="190"/>
      <c r="G20" s="17" t="s">
        <v>2</v>
      </c>
      <c r="H20" s="17">
        <v>12</v>
      </c>
      <c r="I20" s="13">
        <v>1.7350000000000001</v>
      </c>
      <c r="J20" s="13">
        <v>1.5840000000000001</v>
      </c>
      <c r="K20" s="13">
        <v>0.88249999999999995</v>
      </c>
    </row>
    <row r="21" spans="1:11" x14ac:dyDescent="0.2">
      <c r="A21" s="17" t="s">
        <v>707</v>
      </c>
      <c r="B21" s="17">
        <v>13</v>
      </c>
      <c r="C21" s="105">
        <v>1.61</v>
      </c>
      <c r="D21" s="105">
        <v>1.3620000000000001</v>
      </c>
      <c r="E21" s="105">
        <v>0.87749999999999995</v>
      </c>
      <c r="F21" s="190"/>
      <c r="G21" s="17" t="s">
        <v>2</v>
      </c>
      <c r="H21" s="17">
        <v>13</v>
      </c>
      <c r="I21" s="13">
        <v>1.7975000000000001</v>
      </c>
      <c r="J21" s="13">
        <v>1.47</v>
      </c>
      <c r="K21" s="13">
        <v>0.90749999999999997</v>
      </c>
    </row>
    <row r="22" spans="1:11" x14ac:dyDescent="0.2">
      <c r="A22" s="17" t="s">
        <v>707</v>
      </c>
      <c r="B22" s="17">
        <v>14</v>
      </c>
      <c r="C22" s="105">
        <v>1.61</v>
      </c>
      <c r="D22" s="105">
        <v>1.3620000000000001</v>
      </c>
      <c r="E22" s="105">
        <v>0.87749999999999995</v>
      </c>
      <c r="F22" s="190"/>
      <c r="G22" s="17" t="s">
        <v>2</v>
      </c>
      <c r="H22" s="17">
        <v>14</v>
      </c>
      <c r="I22" s="13">
        <v>1.5974999999999999</v>
      </c>
      <c r="J22" s="13">
        <v>1.6459999999999999</v>
      </c>
      <c r="K22" s="13">
        <v>0.86750000000000005</v>
      </c>
    </row>
    <row r="23" spans="1:11" x14ac:dyDescent="0.2">
      <c r="A23" s="17" t="s">
        <v>707</v>
      </c>
      <c r="B23" s="17">
        <v>15</v>
      </c>
      <c r="C23" s="105">
        <v>1.7275</v>
      </c>
      <c r="D23" s="105">
        <v>1.466</v>
      </c>
      <c r="E23" s="105">
        <v>1.1299999999999999</v>
      </c>
      <c r="F23" s="190"/>
      <c r="G23" s="17" t="s">
        <v>2</v>
      </c>
      <c r="H23" s="17">
        <v>15</v>
      </c>
      <c r="I23" s="13">
        <v>1.45</v>
      </c>
      <c r="J23" s="13">
        <v>1.4059999999999999</v>
      </c>
      <c r="K23" s="13">
        <v>0.88249999999999995</v>
      </c>
    </row>
    <row r="24" spans="1:11" x14ac:dyDescent="0.2">
      <c r="A24" s="17" t="s">
        <v>708</v>
      </c>
      <c r="B24" s="17">
        <v>16</v>
      </c>
      <c r="C24" s="105">
        <v>1.8674999999999999</v>
      </c>
      <c r="D24" s="105">
        <v>1.5880000000000001</v>
      </c>
      <c r="E24" s="105">
        <v>0.90600000000000003</v>
      </c>
      <c r="F24" s="190"/>
      <c r="G24" s="17" t="s">
        <v>2</v>
      </c>
      <c r="H24" s="17">
        <v>16</v>
      </c>
      <c r="I24" s="13">
        <v>1.9450000000000001</v>
      </c>
      <c r="J24" s="13">
        <v>1.702</v>
      </c>
      <c r="K24" s="13">
        <v>1.288</v>
      </c>
    </row>
    <row r="25" spans="1:11" x14ac:dyDescent="0.2">
      <c r="A25" s="17" t="s">
        <v>708</v>
      </c>
      <c r="B25" s="17">
        <v>17</v>
      </c>
      <c r="C25" s="105">
        <v>1.655</v>
      </c>
      <c r="D25" s="105">
        <v>1.4119999999999999</v>
      </c>
      <c r="E25" s="105">
        <v>1.1399999999999999</v>
      </c>
      <c r="F25" s="190"/>
      <c r="G25" s="17" t="s">
        <v>2</v>
      </c>
      <c r="H25" s="17">
        <v>17</v>
      </c>
      <c r="I25" s="13">
        <v>2.1025</v>
      </c>
      <c r="J25" s="13">
        <v>1.766</v>
      </c>
      <c r="K25" s="13">
        <v>1.288</v>
      </c>
    </row>
    <row r="26" spans="1:11" x14ac:dyDescent="0.2">
      <c r="A26" s="17" t="s">
        <v>708</v>
      </c>
      <c r="B26" s="17">
        <v>18</v>
      </c>
      <c r="C26" s="105">
        <v>1.6875</v>
      </c>
      <c r="D26" s="105">
        <v>1.57</v>
      </c>
      <c r="E26" s="105">
        <v>0.91</v>
      </c>
      <c r="F26" s="190"/>
      <c r="G26" s="17" t="s">
        <v>2</v>
      </c>
      <c r="H26" s="17">
        <v>18</v>
      </c>
      <c r="I26" s="13">
        <v>1.9575</v>
      </c>
      <c r="J26" s="13">
        <v>1.68</v>
      </c>
      <c r="K26" s="13">
        <v>1.3</v>
      </c>
    </row>
    <row r="27" spans="1:11" x14ac:dyDescent="0.2">
      <c r="A27" s="17" t="s">
        <v>708</v>
      </c>
      <c r="B27" s="17">
        <v>19</v>
      </c>
      <c r="C27" s="105">
        <v>1.7324999999999999</v>
      </c>
      <c r="D27" s="105">
        <v>1.724</v>
      </c>
      <c r="E27" s="105">
        <v>1.38</v>
      </c>
      <c r="F27" s="190"/>
      <c r="G27" s="17" t="s">
        <v>2</v>
      </c>
      <c r="H27" s="17">
        <v>19</v>
      </c>
      <c r="I27" s="13">
        <v>2.0525000000000002</v>
      </c>
      <c r="J27" s="13">
        <v>1.762</v>
      </c>
      <c r="K27" s="13">
        <v>1.1866666666666701</v>
      </c>
    </row>
    <row r="28" spans="1:11" x14ac:dyDescent="0.2">
      <c r="A28" s="17" t="s">
        <v>708</v>
      </c>
      <c r="B28" s="17">
        <v>20</v>
      </c>
      <c r="C28" s="105">
        <v>1.79</v>
      </c>
      <c r="D28" s="105">
        <v>1.44</v>
      </c>
      <c r="E28" s="105">
        <v>1.3425</v>
      </c>
      <c r="F28" s="190"/>
      <c r="G28" s="17" t="s">
        <v>2</v>
      </c>
      <c r="H28" s="17">
        <v>20</v>
      </c>
      <c r="I28" s="13">
        <v>2.0649999999999999</v>
      </c>
      <c r="J28" s="13">
        <v>1.77</v>
      </c>
      <c r="K28" s="13">
        <v>1.2375</v>
      </c>
    </row>
    <row r="29" spans="1:11" x14ac:dyDescent="0.2">
      <c r="A29" s="17" t="s">
        <v>708</v>
      </c>
      <c r="B29" s="17">
        <v>21</v>
      </c>
      <c r="C29" s="105">
        <v>1.97</v>
      </c>
      <c r="D29" s="105">
        <v>1.514</v>
      </c>
      <c r="E29" s="105">
        <v>1.335</v>
      </c>
      <c r="F29" s="190"/>
      <c r="G29" s="17" t="s">
        <v>2</v>
      </c>
      <c r="H29" s="17">
        <v>21</v>
      </c>
      <c r="I29" s="13">
        <v>1.9475</v>
      </c>
      <c r="J29" s="13">
        <v>1.6719999999999999</v>
      </c>
      <c r="K29" s="13">
        <v>1.1950000000000001</v>
      </c>
    </row>
    <row r="30" spans="1:11" x14ac:dyDescent="0.2">
      <c r="A30" s="17" t="s">
        <v>708</v>
      </c>
      <c r="B30" s="17">
        <v>22</v>
      </c>
      <c r="C30" s="105">
        <v>1.7549999999999999</v>
      </c>
      <c r="D30" s="105">
        <v>1.6080000000000001</v>
      </c>
      <c r="E30" s="105">
        <v>0.86</v>
      </c>
      <c r="F30" s="190"/>
      <c r="G30" s="17" t="s">
        <v>2</v>
      </c>
      <c r="H30" s="17">
        <v>22</v>
      </c>
      <c r="I30" s="13">
        <v>2</v>
      </c>
      <c r="J30" s="13">
        <v>1.6279999999999999</v>
      </c>
      <c r="K30" s="13">
        <v>1.254</v>
      </c>
    </row>
    <row r="31" spans="1:11" x14ac:dyDescent="0.2">
      <c r="A31" s="17" t="s">
        <v>708</v>
      </c>
      <c r="B31" s="17">
        <v>23</v>
      </c>
      <c r="C31" s="105">
        <v>1.74</v>
      </c>
      <c r="D31" s="105">
        <v>1.754</v>
      </c>
      <c r="E31" s="105">
        <v>1.1225000000000001</v>
      </c>
      <c r="F31" s="190"/>
      <c r="G31" s="17" t="s">
        <v>2</v>
      </c>
      <c r="H31" s="17">
        <v>23</v>
      </c>
      <c r="I31" s="13">
        <v>2.0499999999999998</v>
      </c>
      <c r="J31" s="13">
        <v>1.6359999999999999</v>
      </c>
      <c r="K31" s="13">
        <v>1.2549999999999999</v>
      </c>
    </row>
    <row r="32" spans="1:11" x14ac:dyDescent="0.2">
      <c r="A32" s="17" t="s">
        <v>708</v>
      </c>
      <c r="B32" s="17">
        <v>24</v>
      </c>
      <c r="C32" s="105">
        <v>1.7275</v>
      </c>
      <c r="D32" s="105">
        <v>1.466</v>
      </c>
      <c r="E32" s="105">
        <v>0.88749999999999996</v>
      </c>
      <c r="F32" s="190"/>
      <c r="G32" s="17" t="s">
        <v>2</v>
      </c>
      <c r="H32" s="17">
        <v>24</v>
      </c>
      <c r="I32" s="13">
        <v>1.915</v>
      </c>
      <c r="J32" s="13">
        <v>1.518</v>
      </c>
      <c r="K32" s="13">
        <v>1.22</v>
      </c>
    </row>
    <row r="33" spans="1:11" x14ac:dyDescent="0.2">
      <c r="A33" s="17" t="s">
        <v>708</v>
      </c>
      <c r="B33" s="17">
        <v>25</v>
      </c>
      <c r="C33" s="105">
        <v>1.6174999999999999</v>
      </c>
      <c r="D33" s="105">
        <v>1.272</v>
      </c>
      <c r="E33" s="105">
        <v>0.9</v>
      </c>
      <c r="F33" s="190"/>
      <c r="G33" s="17" t="s">
        <v>2</v>
      </c>
      <c r="H33" s="17">
        <v>25</v>
      </c>
      <c r="I33" s="13">
        <v>1.8049999999999999</v>
      </c>
      <c r="J33" s="13">
        <v>1.6060000000000001</v>
      </c>
      <c r="K33" s="13">
        <v>1.26</v>
      </c>
    </row>
    <row r="34" spans="1:11" x14ac:dyDescent="0.2">
      <c r="A34" s="17" t="s">
        <v>708</v>
      </c>
      <c r="B34" s="17">
        <v>26</v>
      </c>
      <c r="C34" s="105">
        <v>1.86</v>
      </c>
      <c r="D34" s="105">
        <v>1.498</v>
      </c>
      <c r="E34" s="105">
        <v>0.90249999999999997</v>
      </c>
      <c r="F34" s="190"/>
      <c r="G34" s="17" t="s">
        <v>2</v>
      </c>
      <c r="H34" s="17">
        <v>26</v>
      </c>
      <c r="I34" s="13">
        <v>2.105</v>
      </c>
      <c r="J34" s="13">
        <v>1.75</v>
      </c>
      <c r="K34" s="13">
        <v>1.264</v>
      </c>
    </row>
    <row r="35" spans="1:11" x14ac:dyDescent="0.2">
      <c r="A35" s="17" t="s">
        <v>708</v>
      </c>
      <c r="B35" s="17">
        <v>27</v>
      </c>
      <c r="C35" s="105">
        <v>1.87</v>
      </c>
      <c r="D35" s="105">
        <v>1.5349999999999999</v>
      </c>
      <c r="E35" s="105">
        <v>0.89</v>
      </c>
      <c r="F35" s="190"/>
      <c r="G35" s="17" t="s">
        <v>2</v>
      </c>
      <c r="H35" s="17">
        <v>27</v>
      </c>
      <c r="I35" s="13">
        <v>1.92</v>
      </c>
      <c r="J35" s="13">
        <v>1.5940000000000001</v>
      </c>
      <c r="K35" s="13">
        <v>1.5625</v>
      </c>
    </row>
    <row r="36" spans="1:11" x14ac:dyDescent="0.2">
      <c r="A36" s="17" t="s">
        <v>708</v>
      </c>
      <c r="B36" s="17">
        <v>28</v>
      </c>
      <c r="C36" s="105">
        <v>1.89</v>
      </c>
      <c r="D36" s="105">
        <v>1.764</v>
      </c>
      <c r="E36" s="105">
        <v>1.39</v>
      </c>
      <c r="F36" s="190"/>
      <c r="G36" s="17" t="s">
        <v>2</v>
      </c>
      <c r="H36" s="17">
        <v>28</v>
      </c>
      <c r="I36" s="13">
        <v>1.9766666666666699</v>
      </c>
      <c r="J36" s="13">
        <v>1.73</v>
      </c>
      <c r="K36" s="13">
        <v>2.1360000000000001</v>
      </c>
    </row>
    <row r="37" spans="1:11" x14ac:dyDescent="0.2">
      <c r="A37" s="17" t="s">
        <v>708</v>
      </c>
      <c r="B37" s="17">
        <v>29</v>
      </c>
      <c r="C37" s="105">
        <v>1.5825</v>
      </c>
      <c r="D37" s="105">
        <v>1.3839999999999999</v>
      </c>
      <c r="E37" s="105">
        <v>0.88749999999999996</v>
      </c>
      <c r="F37" s="190"/>
      <c r="G37" s="17" t="s">
        <v>2</v>
      </c>
      <c r="H37" s="17">
        <v>29</v>
      </c>
      <c r="I37" s="13">
        <v>1.97</v>
      </c>
      <c r="J37" s="13">
        <v>1.73</v>
      </c>
      <c r="K37" s="13">
        <v>1.2675000000000001</v>
      </c>
    </row>
    <row r="38" spans="1:11" x14ac:dyDescent="0.2">
      <c r="B38" s="68"/>
      <c r="C38" s="68"/>
      <c r="D38" s="68"/>
      <c r="E38" s="68"/>
      <c r="F38" s="68"/>
      <c r="G38" s="17" t="s">
        <v>2</v>
      </c>
      <c r="H38" s="17">
        <v>30</v>
      </c>
      <c r="I38" s="13">
        <v>2.15</v>
      </c>
      <c r="J38" s="13">
        <v>1.754</v>
      </c>
      <c r="K38" s="13">
        <v>1.294</v>
      </c>
    </row>
    <row r="39" spans="1:11" x14ac:dyDescent="0.2">
      <c r="B39" s="68"/>
      <c r="C39" s="68"/>
      <c r="D39" s="68"/>
      <c r="E39" s="68"/>
      <c r="F39" s="68"/>
      <c r="G39" s="17" t="s">
        <v>3</v>
      </c>
      <c r="H39" s="17">
        <v>31</v>
      </c>
      <c r="I39" s="13">
        <v>1.96</v>
      </c>
      <c r="J39" s="13">
        <v>1.696</v>
      </c>
      <c r="K39" s="13">
        <v>1.1000000000000001</v>
      </c>
    </row>
    <row r="40" spans="1:11" x14ac:dyDescent="0.2">
      <c r="B40" s="68"/>
      <c r="C40" s="68"/>
      <c r="D40" s="68"/>
      <c r="E40" s="68"/>
      <c r="F40" s="68"/>
      <c r="G40" s="17" t="s">
        <v>3</v>
      </c>
      <c r="H40" s="17">
        <v>32</v>
      </c>
      <c r="I40" s="13">
        <v>2.08</v>
      </c>
      <c r="J40" s="13">
        <v>1.6</v>
      </c>
      <c r="K40" s="13">
        <v>0.88749999999999996</v>
      </c>
    </row>
    <row r="41" spans="1:11" x14ac:dyDescent="0.2">
      <c r="B41" s="68"/>
      <c r="C41" s="68"/>
      <c r="D41" s="68"/>
      <c r="E41" s="68"/>
      <c r="F41" s="68"/>
      <c r="G41" s="17" t="s">
        <v>3</v>
      </c>
      <c r="H41" s="17">
        <v>33</v>
      </c>
      <c r="I41" s="13">
        <v>1.88</v>
      </c>
      <c r="J41" s="13">
        <v>1.5375000000000001</v>
      </c>
      <c r="K41" s="13">
        <v>0.91500000000000004</v>
      </c>
    </row>
    <row r="42" spans="1:11" x14ac:dyDescent="0.2">
      <c r="B42" s="68"/>
      <c r="C42" s="68"/>
      <c r="D42" s="68"/>
      <c r="E42" s="68"/>
      <c r="F42" s="68"/>
      <c r="G42" s="17" t="s">
        <v>3</v>
      </c>
      <c r="H42" s="17">
        <v>34</v>
      </c>
      <c r="I42" s="13">
        <v>1.7333333333333301</v>
      </c>
      <c r="J42" s="13">
        <v>1.75</v>
      </c>
      <c r="K42" s="13">
        <v>0.92249999999999999</v>
      </c>
    </row>
    <row r="43" spans="1:11" x14ac:dyDescent="0.2">
      <c r="B43" s="68"/>
      <c r="C43" s="68"/>
      <c r="D43" s="68"/>
      <c r="E43" s="68"/>
      <c r="F43" s="68"/>
      <c r="G43" s="17" t="s">
        <v>3</v>
      </c>
      <c r="H43" s="17">
        <v>35</v>
      </c>
      <c r="I43" s="13">
        <v>1.88666666666667</v>
      </c>
      <c r="J43" s="13">
        <v>1.6859999999999999</v>
      </c>
      <c r="K43" s="13">
        <v>0.88749999999999996</v>
      </c>
    </row>
    <row r="44" spans="1:11" x14ac:dyDescent="0.2">
      <c r="B44" s="68"/>
      <c r="C44" s="68"/>
      <c r="D44" s="68"/>
      <c r="E44" s="68"/>
      <c r="F44" s="68"/>
      <c r="G44" s="17" t="s">
        <v>3</v>
      </c>
      <c r="H44" s="17">
        <v>36</v>
      </c>
      <c r="I44" s="13">
        <v>1.82</v>
      </c>
      <c r="J44" s="13">
        <v>1.41</v>
      </c>
      <c r="K44" s="13">
        <v>0.96199999999999997</v>
      </c>
    </row>
    <row r="45" spans="1:11" x14ac:dyDescent="0.2">
      <c r="B45" s="68"/>
      <c r="C45" s="68"/>
      <c r="D45" s="68"/>
      <c r="E45" s="68"/>
      <c r="F45" s="68"/>
      <c r="G45" s="17" t="s">
        <v>3</v>
      </c>
      <c r="H45" s="17">
        <v>37</v>
      </c>
      <c r="I45" s="13">
        <v>1.5633333333333299</v>
      </c>
      <c r="J45" s="13">
        <v>1.61</v>
      </c>
      <c r="K45" s="13">
        <v>0.87250000000000005</v>
      </c>
    </row>
    <row r="46" spans="1:11" x14ac:dyDescent="0.2">
      <c r="B46" s="68"/>
      <c r="C46" s="68"/>
      <c r="D46" s="68"/>
      <c r="E46" s="68"/>
      <c r="F46" s="68"/>
      <c r="G46" s="17" t="s">
        <v>3</v>
      </c>
      <c r="H46" s="17">
        <v>38</v>
      </c>
      <c r="I46" s="13">
        <v>1.78666666666667</v>
      </c>
      <c r="J46" s="13">
        <v>1.55</v>
      </c>
      <c r="K46" s="13">
        <v>0.92200000000000004</v>
      </c>
    </row>
    <row r="47" spans="1:11" x14ac:dyDescent="0.2">
      <c r="B47" s="68"/>
      <c r="C47" s="68"/>
      <c r="D47" s="68"/>
      <c r="E47" s="68"/>
      <c r="F47" s="68"/>
      <c r="G47" s="17" t="s">
        <v>3</v>
      </c>
      <c r="H47" s="17">
        <v>39</v>
      </c>
      <c r="I47" s="13">
        <v>1.5425</v>
      </c>
      <c r="J47" s="13">
        <v>1.5525</v>
      </c>
      <c r="K47" s="13">
        <v>0.86599999999999999</v>
      </c>
    </row>
    <row r="48" spans="1:11" x14ac:dyDescent="0.2">
      <c r="B48" s="68"/>
      <c r="C48" s="68"/>
      <c r="D48" s="68"/>
      <c r="E48" s="68"/>
      <c r="F48" s="68"/>
      <c r="G48" s="17" t="s">
        <v>3</v>
      </c>
      <c r="H48" s="17">
        <v>40</v>
      </c>
      <c r="I48" s="13">
        <v>1.83</v>
      </c>
      <c r="J48" s="13">
        <v>1.534</v>
      </c>
      <c r="K48" s="13">
        <v>0.90749999999999997</v>
      </c>
    </row>
    <row r="49" spans="2:11" x14ac:dyDescent="0.2">
      <c r="B49" s="68"/>
      <c r="C49" s="68"/>
      <c r="D49" s="68"/>
      <c r="E49" s="68"/>
      <c r="F49" s="68"/>
      <c r="G49" s="17" t="s">
        <v>3</v>
      </c>
      <c r="H49" s="17">
        <v>41</v>
      </c>
      <c r="I49" s="13">
        <v>1.645</v>
      </c>
      <c r="J49" s="13">
        <v>1.5860000000000001</v>
      </c>
      <c r="K49" s="13">
        <v>1.26</v>
      </c>
    </row>
    <row r="50" spans="2:11" x14ac:dyDescent="0.2">
      <c r="B50" s="68"/>
      <c r="C50" s="68"/>
      <c r="D50" s="68"/>
      <c r="E50" s="68"/>
      <c r="F50" s="68"/>
      <c r="G50" s="17" t="s">
        <v>3</v>
      </c>
      <c r="H50" s="17">
        <v>42</v>
      </c>
      <c r="I50" s="13">
        <v>1.7450000000000001</v>
      </c>
      <c r="J50" s="13">
        <v>1.61</v>
      </c>
      <c r="K50" s="13">
        <v>0.98799999999999999</v>
      </c>
    </row>
    <row r="51" spans="2:11" x14ac:dyDescent="0.2">
      <c r="B51" s="68"/>
      <c r="C51" s="68"/>
      <c r="D51" s="68"/>
      <c r="E51" s="68"/>
      <c r="F51" s="68"/>
      <c r="G51" s="17" t="s">
        <v>3</v>
      </c>
      <c r="H51" s="17">
        <v>43</v>
      </c>
      <c r="I51" s="13">
        <v>1.95</v>
      </c>
      <c r="J51" s="13">
        <v>1.3460000000000001</v>
      </c>
      <c r="K51" s="13">
        <v>0.85499999999999998</v>
      </c>
    </row>
    <row r="52" spans="2:11" x14ac:dyDescent="0.2">
      <c r="B52" s="68"/>
      <c r="C52" s="68"/>
      <c r="D52" s="68"/>
      <c r="E52" s="68"/>
      <c r="F52" s="68"/>
      <c r="G52" s="17" t="s">
        <v>3</v>
      </c>
      <c r="H52" s="17">
        <v>44</v>
      </c>
      <c r="I52" s="13">
        <v>1.66</v>
      </c>
      <c r="J52" s="13">
        <v>1.3859999999999999</v>
      </c>
      <c r="K52" s="13">
        <v>0.68</v>
      </c>
    </row>
    <row r="53" spans="2:11" x14ac:dyDescent="0.2">
      <c r="B53" s="68"/>
      <c r="C53" s="68"/>
      <c r="D53" s="68"/>
      <c r="E53" s="68"/>
      <c r="F53" s="68"/>
      <c r="G53" s="17" t="s">
        <v>3</v>
      </c>
      <c r="H53" s="17">
        <v>45</v>
      </c>
      <c r="I53" s="13">
        <v>1.615</v>
      </c>
      <c r="J53" s="13">
        <v>1.722</v>
      </c>
      <c r="K53" s="13">
        <v>0.88</v>
      </c>
    </row>
    <row r="54" spans="2:11" x14ac:dyDescent="0.2">
      <c r="B54" s="68"/>
      <c r="C54" s="68"/>
      <c r="D54" s="68"/>
      <c r="E54" s="68"/>
      <c r="F54" s="68"/>
      <c r="G54" s="17" t="s">
        <v>3</v>
      </c>
      <c r="H54" s="17">
        <v>46</v>
      </c>
      <c r="I54" s="13">
        <v>1.6074999999999999</v>
      </c>
      <c r="J54" s="13">
        <v>1.4039999999999999</v>
      </c>
      <c r="K54" s="13">
        <v>0.89333333333333298</v>
      </c>
    </row>
    <row r="55" spans="2:11" x14ac:dyDescent="0.2">
      <c r="B55" s="68"/>
      <c r="C55" s="68"/>
      <c r="D55" s="68"/>
      <c r="E55" s="68"/>
      <c r="F55" s="68"/>
      <c r="G55" s="17" t="s">
        <v>3</v>
      </c>
      <c r="H55" s="17">
        <v>47</v>
      </c>
      <c r="I55" s="13">
        <v>1.54</v>
      </c>
      <c r="J55" s="13">
        <v>1.6439999999999999</v>
      </c>
      <c r="K55" s="13">
        <v>0.88666666666666705</v>
      </c>
    </row>
    <row r="56" spans="2:11" x14ac:dyDescent="0.2">
      <c r="B56" s="68"/>
      <c r="C56" s="68"/>
      <c r="D56" s="68"/>
      <c r="E56" s="68"/>
      <c r="F56" s="68"/>
      <c r="G56" s="17" t="s">
        <v>3</v>
      </c>
      <c r="H56" s="17">
        <v>48</v>
      </c>
      <c r="I56" s="13">
        <v>1.82</v>
      </c>
      <c r="J56" s="13">
        <v>1.3959999999999999</v>
      </c>
      <c r="K56" s="13">
        <v>0.91666666666666696</v>
      </c>
    </row>
    <row r="57" spans="2:11" x14ac:dyDescent="0.2">
      <c r="B57" s="68"/>
      <c r="C57" s="68"/>
      <c r="D57" s="68"/>
      <c r="E57" s="68"/>
      <c r="F57" s="68"/>
      <c r="G57" s="17" t="s">
        <v>3</v>
      </c>
      <c r="H57" s="17">
        <v>49</v>
      </c>
      <c r="I57" s="13">
        <v>1.5349999999999999</v>
      </c>
      <c r="J57" s="13">
        <v>1.41</v>
      </c>
      <c r="K57" s="13">
        <v>0.89</v>
      </c>
    </row>
    <row r="58" spans="2:11" x14ac:dyDescent="0.2">
      <c r="B58" s="68"/>
      <c r="C58" s="68"/>
      <c r="D58" s="68"/>
      <c r="E58" s="68"/>
      <c r="F58" s="68"/>
      <c r="G58" s="17" t="s">
        <v>3</v>
      </c>
      <c r="H58" s="17">
        <v>50</v>
      </c>
      <c r="I58" s="13">
        <v>1.7825</v>
      </c>
      <c r="J58" s="13">
        <v>1.722</v>
      </c>
      <c r="K58" s="13">
        <v>0.88666666666666705</v>
      </c>
    </row>
    <row r="59" spans="2:11" x14ac:dyDescent="0.2">
      <c r="B59" s="68"/>
      <c r="C59" s="68"/>
      <c r="D59" s="68"/>
      <c r="E59" s="68"/>
      <c r="F59" s="68"/>
      <c r="G59" s="17" t="s">
        <v>3</v>
      </c>
      <c r="H59" s="17">
        <v>51</v>
      </c>
      <c r="I59" s="13">
        <v>1.84</v>
      </c>
      <c r="J59" s="13">
        <v>1.4419999999999999</v>
      </c>
      <c r="K59" s="13">
        <v>0.89500000000000002</v>
      </c>
    </row>
    <row r="60" spans="2:11" x14ac:dyDescent="0.2">
      <c r="B60" s="68"/>
      <c r="C60" s="68"/>
      <c r="D60" s="68"/>
      <c r="E60" s="68"/>
      <c r="F60" s="68"/>
      <c r="G60" s="17" t="s">
        <v>3</v>
      </c>
      <c r="H60" s="17">
        <v>52</v>
      </c>
      <c r="I60" s="13">
        <v>1.4650000000000001</v>
      </c>
      <c r="J60" s="13">
        <v>1.6</v>
      </c>
      <c r="K60" s="13">
        <v>0.84250000000000003</v>
      </c>
    </row>
    <row r="61" spans="2:11" x14ac:dyDescent="0.2">
      <c r="B61" s="68"/>
      <c r="C61" s="68"/>
      <c r="D61" s="68"/>
      <c r="E61" s="68"/>
      <c r="F61" s="68"/>
      <c r="G61" s="17" t="s">
        <v>3</v>
      </c>
      <c r="H61" s="17">
        <v>53</v>
      </c>
      <c r="I61" s="13">
        <v>1.9275</v>
      </c>
      <c r="J61" s="13">
        <v>1.6</v>
      </c>
      <c r="K61" s="13">
        <v>0.86</v>
      </c>
    </row>
    <row r="62" spans="2:11" x14ac:dyDescent="0.2">
      <c r="B62" s="68"/>
      <c r="C62" s="68"/>
      <c r="D62" s="68"/>
      <c r="E62" s="68"/>
      <c r="F62" s="68"/>
      <c r="G62" s="17" t="s">
        <v>3</v>
      </c>
      <c r="H62" s="17">
        <v>54</v>
      </c>
      <c r="I62" s="13">
        <v>1.9275</v>
      </c>
      <c r="J62" s="13">
        <v>1.6759999999999999</v>
      </c>
      <c r="K62" s="13">
        <v>0.86</v>
      </c>
    </row>
    <row r="63" spans="2:11" x14ac:dyDescent="0.2">
      <c r="B63" s="68"/>
      <c r="C63" s="68"/>
      <c r="D63" s="68"/>
      <c r="E63" s="68"/>
      <c r="F63" s="68"/>
      <c r="G63" s="17" t="s">
        <v>3</v>
      </c>
      <c r="H63" s="17">
        <v>55</v>
      </c>
      <c r="I63" s="13">
        <v>1.9025000000000001</v>
      </c>
      <c r="J63" s="13">
        <v>1.6579999999999999</v>
      </c>
      <c r="K63" s="13">
        <v>0.913333333333333</v>
      </c>
    </row>
    <row r="64" spans="2:11" x14ac:dyDescent="0.2">
      <c r="B64" s="68"/>
      <c r="C64" s="68"/>
      <c r="D64" s="68"/>
      <c r="E64" s="68"/>
      <c r="F64" s="68"/>
      <c r="G64" s="17" t="s">
        <v>3</v>
      </c>
      <c r="H64" s="17">
        <v>56</v>
      </c>
      <c r="I64" s="13">
        <v>1.8925000000000001</v>
      </c>
      <c r="J64" s="13">
        <v>1.64</v>
      </c>
      <c r="K64" s="13">
        <v>0.92</v>
      </c>
    </row>
    <row r="65" spans="2:24" x14ac:dyDescent="0.2">
      <c r="B65" s="68"/>
      <c r="C65" s="68"/>
      <c r="D65" s="68"/>
      <c r="E65" s="68"/>
      <c r="F65" s="68"/>
      <c r="G65" s="17" t="s">
        <v>3</v>
      </c>
      <c r="H65" s="17">
        <v>57</v>
      </c>
      <c r="I65" s="13">
        <v>1.8574999999999999</v>
      </c>
      <c r="J65" s="13">
        <v>1.718</v>
      </c>
      <c r="K65" s="13">
        <v>0.88666666666666705</v>
      </c>
    </row>
    <row r="66" spans="2:24" x14ac:dyDescent="0.2">
      <c r="B66" s="68"/>
      <c r="C66" s="68"/>
      <c r="D66" s="68"/>
      <c r="E66" s="68"/>
      <c r="F66" s="68"/>
      <c r="G66" s="17" t="s">
        <v>3</v>
      </c>
      <c r="H66" s="17">
        <v>58</v>
      </c>
      <c r="I66" s="13">
        <v>2.0325000000000002</v>
      </c>
      <c r="J66" s="13">
        <v>1.6479999999999999</v>
      </c>
      <c r="K66" s="13">
        <v>0.9375</v>
      </c>
    </row>
    <row r="67" spans="2:24" x14ac:dyDescent="0.2">
      <c r="B67" s="68"/>
      <c r="C67" s="68"/>
      <c r="D67" s="68"/>
      <c r="E67" s="68"/>
      <c r="F67" s="68"/>
      <c r="G67" s="17" t="s">
        <v>3</v>
      </c>
      <c r="H67" s="17">
        <v>59</v>
      </c>
      <c r="I67" s="13">
        <v>1.9450000000000001</v>
      </c>
      <c r="J67" s="13">
        <v>1.5740000000000001</v>
      </c>
      <c r="K67" s="13">
        <v>0.82333333333333303</v>
      </c>
    </row>
    <row r="68" spans="2:24" x14ac:dyDescent="0.2">
      <c r="B68" s="68"/>
      <c r="C68" s="68"/>
      <c r="D68" s="68"/>
      <c r="E68" s="68"/>
      <c r="F68" s="68"/>
      <c r="G68" s="17" t="s">
        <v>3</v>
      </c>
      <c r="H68" s="17">
        <v>60</v>
      </c>
      <c r="I68" s="13">
        <v>1.63</v>
      </c>
      <c r="J68" s="13">
        <v>1.6</v>
      </c>
      <c r="K68" s="13">
        <v>1.2066666666666701</v>
      </c>
    </row>
    <row r="69" spans="2:24" x14ac:dyDescent="0.2">
      <c r="B69" s="68"/>
      <c r="C69" s="68"/>
      <c r="D69" s="68"/>
      <c r="E69" s="68"/>
      <c r="F69" s="68"/>
      <c r="G69" s="17" t="s">
        <v>4</v>
      </c>
      <c r="H69" s="17">
        <v>61</v>
      </c>
      <c r="I69" s="13">
        <v>1.9125000000000001</v>
      </c>
      <c r="J69" s="13">
        <v>1.3680000000000001</v>
      </c>
      <c r="K69" s="13">
        <v>0.91</v>
      </c>
    </row>
    <row r="70" spans="2:24" x14ac:dyDescent="0.2">
      <c r="B70" s="68"/>
      <c r="C70" s="68"/>
      <c r="D70" s="68"/>
      <c r="E70" s="68"/>
      <c r="F70" s="68"/>
      <c r="G70" s="17" t="s">
        <v>4</v>
      </c>
      <c r="H70" s="17">
        <v>62</v>
      </c>
      <c r="I70" s="13">
        <v>1.4950000000000001</v>
      </c>
      <c r="J70" s="13">
        <v>1.7749999999999999</v>
      </c>
      <c r="K70" s="13">
        <v>0.87</v>
      </c>
    </row>
    <row r="71" spans="2:24" x14ac:dyDescent="0.2">
      <c r="B71" s="68"/>
      <c r="C71" s="68"/>
      <c r="D71" s="68"/>
      <c r="E71" s="68"/>
      <c r="F71" s="68"/>
      <c r="G71" s="17" t="s">
        <v>4</v>
      </c>
      <c r="H71" s="17">
        <v>63</v>
      </c>
      <c r="I71" s="13">
        <v>2.0699999999999998</v>
      </c>
      <c r="J71" s="13">
        <v>1.6225000000000001</v>
      </c>
      <c r="K71" s="13">
        <v>0.89500000000000002</v>
      </c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</row>
    <row r="72" spans="2:24" x14ac:dyDescent="0.2">
      <c r="B72" s="68"/>
      <c r="C72" s="68"/>
      <c r="D72" s="68"/>
      <c r="E72" s="68"/>
      <c r="F72" s="68"/>
      <c r="G72" s="17" t="s">
        <v>4</v>
      </c>
      <c r="H72" s="17">
        <v>64</v>
      </c>
      <c r="I72" s="13">
        <v>1.89333333333333</v>
      </c>
      <c r="J72" s="13">
        <v>1.702</v>
      </c>
      <c r="K72" s="13">
        <v>0.90500000000000003</v>
      </c>
      <c r="N72" s="66"/>
      <c r="O72" s="98"/>
      <c r="P72" s="66"/>
      <c r="Q72" s="66"/>
      <c r="R72" s="66"/>
      <c r="S72" s="66"/>
      <c r="T72" s="66"/>
      <c r="U72" s="66"/>
      <c r="V72" s="66"/>
      <c r="W72" s="66"/>
      <c r="X72" s="66"/>
    </row>
    <row r="73" spans="2:24" x14ac:dyDescent="0.2">
      <c r="B73" s="68"/>
      <c r="C73" s="68"/>
      <c r="D73" s="68"/>
      <c r="E73" s="68"/>
      <c r="F73" s="68"/>
      <c r="G73" s="17" t="s">
        <v>4</v>
      </c>
      <c r="H73" s="17">
        <v>65</v>
      </c>
      <c r="I73" s="13">
        <v>1.82666666666667</v>
      </c>
      <c r="J73" s="13">
        <v>1.5780000000000001</v>
      </c>
      <c r="K73" s="13">
        <v>0.92666666666666697</v>
      </c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</row>
    <row r="74" spans="2:24" x14ac:dyDescent="0.2">
      <c r="B74" s="68"/>
      <c r="C74" s="68"/>
      <c r="D74" s="68"/>
      <c r="E74" s="68"/>
      <c r="F74" s="68"/>
      <c r="G74" s="17" t="s">
        <v>4</v>
      </c>
      <c r="H74" s="17">
        <v>66</v>
      </c>
      <c r="I74" s="13">
        <v>1.5066666666666699</v>
      </c>
      <c r="J74" s="13">
        <v>1.7324999999999999</v>
      </c>
      <c r="K74" s="13">
        <v>0.92249999999999999</v>
      </c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66"/>
    </row>
    <row r="75" spans="2:24" x14ac:dyDescent="0.2">
      <c r="B75" s="68"/>
      <c r="C75" s="68"/>
      <c r="D75" s="68"/>
      <c r="E75" s="68"/>
      <c r="F75" s="68"/>
      <c r="G75" s="17" t="s">
        <v>4</v>
      </c>
      <c r="H75" s="17">
        <v>67</v>
      </c>
      <c r="I75" s="13">
        <v>2.0566666666666702</v>
      </c>
      <c r="J75" s="13">
        <v>1.76</v>
      </c>
      <c r="K75" s="13">
        <v>0.92249999999999999</v>
      </c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</row>
    <row r="76" spans="2:24" x14ac:dyDescent="0.2">
      <c r="B76" s="68"/>
      <c r="C76" s="68"/>
      <c r="D76" s="68"/>
      <c r="E76" s="68"/>
      <c r="F76" s="68"/>
      <c r="G76" s="17" t="s">
        <v>4</v>
      </c>
      <c r="H76" s="17">
        <v>68</v>
      </c>
      <c r="I76" s="13">
        <v>2.04</v>
      </c>
      <c r="J76" s="13">
        <v>1.5525</v>
      </c>
      <c r="K76" s="13">
        <v>0.89249999999999996</v>
      </c>
      <c r="N76" s="66"/>
      <c r="O76" s="66"/>
      <c r="P76" s="66"/>
      <c r="Q76" s="66"/>
      <c r="R76" s="66"/>
      <c r="S76" s="66"/>
      <c r="T76" s="66"/>
      <c r="U76" s="66"/>
      <c r="V76" s="66"/>
      <c r="W76" s="66"/>
      <c r="X76" s="66"/>
    </row>
    <row r="77" spans="2:24" x14ac:dyDescent="0.2">
      <c r="B77" s="68"/>
      <c r="C77" s="68"/>
      <c r="D77" s="68"/>
      <c r="E77" s="68"/>
      <c r="F77" s="68"/>
      <c r="G77" s="17" t="s">
        <v>4</v>
      </c>
      <c r="H77" s="17">
        <v>69</v>
      </c>
      <c r="I77" s="13">
        <v>1.85666666666667</v>
      </c>
      <c r="J77" s="13">
        <v>1.61</v>
      </c>
      <c r="K77" s="13">
        <v>0.88749999999999996</v>
      </c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</row>
    <row r="78" spans="2:24" x14ac:dyDescent="0.2">
      <c r="B78" s="68"/>
      <c r="C78" s="68"/>
      <c r="D78" s="68"/>
      <c r="E78" s="68"/>
      <c r="F78" s="68"/>
      <c r="G78" s="17" t="s">
        <v>4</v>
      </c>
      <c r="H78" s="17">
        <v>70</v>
      </c>
      <c r="I78" s="13">
        <v>1.82666666666667</v>
      </c>
      <c r="J78" s="13">
        <v>1.7875000000000001</v>
      </c>
      <c r="K78" s="13">
        <v>0.93</v>
      </c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</row>
    <row r="79" spans="2:24" x14ac:dyDescent="0.2">
      <c r="B79" s="68"/>
      <c r="C79" s="68"/>
      <c r="D79" s="68"/>
      <c r="E79" s="68"/>
      <c r="F79" s="68"/>
      <c r="G79" s="17" t="s">
        <v>4</v>
      </c>
      <c r="H79" s="17">
        <v>71</v>
      </c>
      <c r="I79" s="13">
        <v>2.04</v>
      </c>
      <c r="J79" s="13">
        <v>1.72</v>
      </c>
      <c r="K79" s="13">
        <v>1.77</v>
      </c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</row>
    <row r="80" spans="2:24" x14ac:dyDescent="0.2">
      <c r="B80" s="68"/>
      <c r="C80" s="68"/>
      <c r="D80" s="68"/>
      <c r="E80" s="68"/>
      <c r="F80" s="68"/>
      <c r="G80" s="17" t="s">
        <v>4</v>
      </c>
      <c r="H80" s="17">
        <v>72</v>
      </c>
      <c r="I80" s="13">
        <v>1.96</v>
      </c>
      <c r="J80" s="13">
        <v>1.726</v>
      </c>
      <c r="K80" s="13">
        <v>0.93</v>
      </c>
      <c r="N80" s="66"/>
      <c r="O80" s="66"/>
      <c r="P80" s="66"/>
      <c r="Q80" s="66"/>
      <c r="R80" s="66"/>
      <c r="S80" s="66"/>
      <c r="T80" s="66"/>
      <c r="U80" s="66"/>
      <c r="V80" s="66"/>
      <c r="W80" s="66"/>
      <c r="X80" s="66"/>
    </row>
    <row r="81" spans="2:24" x14ac:dyDescent="0.2">
      <c r="B81" s="68"/>
      <c r="C81" s="68"/>
      <c r="D81" s="68"/>
      <c r="E81" s="68"/>
      <c r="F81" s="68"/>
      <c r="G81" s="17" t="s">
        <v>4</v>
      </c>
      <c r="H81" s="17">
        <v>73</v>
      </c>
      <c r="I81" s="13">
        <v>1.93333333333333</v>
      </c>
      <c r="J81" s="13">
        <v>1.68</v>
      </c>
      <c r="K81" s="13">
        <v>0.81</v>
      </c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</row>
    <row r="82" spans="2:24" x14ac:dyDescent="0.2">
      <c r="B82" s="68"/>
      <c r="C82" s="68"/>
      <c r="D82" s="68"/>
      <c r="E82" s="68"/>
      <c r="F82" s="68"/>
      <c r="G82" s="17" t="s">
        <v>4</v>
      </c>
      <c r="H82" s="17">
        <v>74</v>
      </c>
      <c r="I82" s="13">
        <v>1.4125000000000001</v>
      </c>
      <c r="J82" s="13">
        <v>1.262</v>
      </c>
      <c r="K82" s="13">
        <v>0.81499999999999995</v>
      </c>
      <c r="N82" s="66"/>
      <c r="O82" s="66"/>
      <c r="P82" s="66"/>
      <c r="Q82" s="66"/>
      <c r="R82" s="66"/>
      <c r="S82" s="66"/>
      <c r="T82" s="66"/>
      <c r="U82" s="66"/>
      <c r="V82" s="66"/>
      <c r="W82" s="66"/>
      <c r="X82" s="66"/>
    </row>
    <row r="83" spans="2:24" x14ac:dyDescent="0.2">
      <c r="B83" s="68"/>
      <c r="C83" s="68"/>
      <c r="D83" s="68"/>
      <c r="E83" s="68"/>
      <c r="F83" s="68"/>
      <c r="G83" s="17" t="s">
        <v>4</v>
      </c>
      <c r="H83" s="17">
        <v>75</v>
      </c>
      <c r="I83" s="13">
        <v>1.93333333333333</v>
      </c>
      <c r="J83" s="13">
        <v>1.68</v>
      </c>
      <c r="K83" s="13">
        <v>0.81</v>
      </c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6"/>
    </row>
    <row r="84" spans="2:24" x14ac:dyDescent="0.2">
      <c r="B84" s="68"/>
      <c r="C84" s="68"/>
      <c r="D84" s="68"/>
      <c r="E84" s="68"/>
      <c r="F84" s="68"/>
      <c r="G84" s="17" t="s">
        <v>4</v>
      </c>
      <c r="H84" s="17">
        <v>76</v>
      </c>
      <c r="I84" s="13">
        <v>1.93333333333333</v>
      </c>
      <c r="J84" s="13">
        <v>1.68</v>
      </c>
      <c r="K84" s="13">
        <v>0.81</v>
      </c>
      <c r="N84" s="66"/>
      <c r="O84" s="98"/>
      <c r="P84" s="66"/>
      <c r="Q84" s="66"/>
      <c r="R84" s="66"/>
      <c r="S84" s="66"/>
      <c r="T84" s="66"/>
      <c r="U84" s="66"/>
      <c r="V84" s="66"/>
      <c r="W84" s="66"/>
      <c r="X84" s="66"/>
    </row>
    <row r="85" spans="2:24" x14ac:dyDescent="0.2">
      <c r="B85" s="68"/>
      <c r="C85" s="68"/>
      <c r="D85" s="68"/>
      <c r="E85" s="68"/>
      <c r="F85" s="68"/>
      <c r="G85" s="17" t="s">
        <v>4</v>
      </c>
      <c r="H85" s="17">
        <v>77</v>
      </c>
      <c r="I85" s="13">
        <v>1.86666666666667</v>
      </c>
      <c r="J85" s="13">
        <v>1.6459999999999999</v>
      </c>
      <c r="K85" s="13">
        <v>0.87666666666666704</v>
      </c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</row>
    <row r="86" spans="2:24" x14ac:dyDescent="0.2">
      <c r="B86" s="68"/>
      <c r="C86" s="68"/>
      <c r="D86" s="68"/>
      <c r="E86" s="68"/>
      <c r="F86" s="68"/>
      <c r="G86" s="17" t="s">
        <v>4</v>
      </c>
      <c r="H86" s="17">
        <v>78</v>
      </c>
      <c r="I86" s="13">
        <v>1.8033333333333299</v>
      </c>
      <c r="J86" s="13">
        <v>1.57</v>
      </c>
      <c r="K86" s="13">
        <v>0.89</v>
      </c>
      <c r="N86" s="66"/>
      <c r="O86" s="66"/>
      <c r="P86" s="66"/>
      <c r="Q86" s="66"/>
      <c r="R86" s="66"/>
      <c r="S86" s="66"/>
      <c r="T86" s="66"/>
      <c r="U86" s="66"/>
      <c r="V86" s="66"/>
      <c r="W86" s="66"/>
      <c r="X86" s="66"/>
    </row>
    <row r="87" spans="2:24" x14ac:dyDescent="0.2">
      <c r="B87" s="68"/>
      <c r="C87" s="68"/>
      <c r="D87" s="68"/>
      <c r="E87" s="68"/>
      <c r="F87" s="68"/>
      <c r="G87" s="17" t="s">
        <v>4</v>
      </c>
      <c r="H87" s="17">
        <v>79</v>
      </c>
      <c r="I87" s="13">
        <v>2.0166666666666702</v>
      </c>
      <c r="J87" s="13">
        <v>1.63</v>
      </c>
      <c r="K87" s="13">
        <v>0.89666666666666694</v>
      </c>
      <c r="N87" s="66"/>
      <c r="O87" s="66"/>
      <c r="P87" s="66"/>
      <c r="Q87" s="66"/>
      <c r="R87" s="66"/>
      <c r="S87" s="66"/>
      <c r="T87" s="66"/>
      <c r="U87" s="66"/>
      <c r="V87" s="66"/>
      <c r="W87" s="66"/>
      <c r="X87" s="66"/>
    </row>
    <row r="88" spans="2:24" x14ac:dyDescent="0.2">
      <c r="B88" s="68"/>
      <c r="C88" s="68"/>
      <c r="D88" s="68"/>
      <c r="E88" s="68"/>
      <c r="F88" s="68"/>
      <c r="G88" s="17" t="s">
        <v>4</v>
      </c>
      <c r="H88" s="17">
        <v>80</v>
      </c>
      <c r="I88" s="13">
        <v>1.7949999999999999</v>
      </c>
      <c r="J88" s="13">
        <v>1.6579999999999999</v>
      </c>
      <c r="K88" s="13">
        <v>0.85499999999999998</v>
      </c>
      <c r="N88" s="66"/>
      <c r="O88" s="66"/>
      <c r="P88" s="66"/>
      <c r="Q88" s="66"/>
      <c r="R88" s="66"/>
      <c r="S88" s="66"/>
      <c r="T88" s="66"/>
      <c r="U88" s="66"/>
      <c r="V88" s="66"/>
      <c r="W88" s="66"/>
      <c r="X88" s="66"/>
    </row>
    <row r="89" spans="2:24" x14ac:dyDescent="0.2">
      <c r="B89" s="68"/>
      <c r="C89" s="68"/>
      <c r="D89" s="68"/>
      <c r="E89" s="68"/>
      <c r="F89" s="68"/>
      <c r="G89" s="17" t="s">
        <v>4</v>
      </c>
      <c r="H89" s="17">
        <v>81</v>
      </c>
      <c r="I89" s="13">
        <v>1.88333333333333</v>
      </c>
      <c r="J89" s="13">
        <v>1.615</v>
      </c>
      <c r="K89" s="13">
        <v>0.836666666666667</v>
      </c>
      <c r="N89" s="66"/>
      <c r="O89" s="66"/>
      <c r="P89" s="66"/>
      <c r="Q89" s="66"/>
      <c r="R89" s="66"/>
      <c r="S89" s="66"/>
      <c r="T89" s="66"/>
      <c r="U89" s="66"/>
      <c r="V89" s="66"/>
      <c r="W89" s="66"/>
      <c r="X89" s="66"/>
    </row>
    <row r="90" spans="2:24" x14ac:dyDescent="0.2">
      <c r="B90" s="68"/>
      <c r="C90" s="68"/>
      <c r="D90" s="68"/>
      <c r="E90" s="68"/>
      <c r="F90" s="68"/>
      <c r="G90" s="17" t="s">
        <v>4</v>
      </c>
      <c r="H90" s="17">
        <v>82</v>
      </c>
      <c r="I90" s="13">
        <v>1.99</v>
      </c>
      <c r="J90" s="13">
        <v>1.6425000000000001</v>
      </c>
      <c r="K90" s="13">
        <v>0.86750000000000005</v>
      </c>
      <c r="N90" s="66"/>
      <c r="O90" s="66"/>
      <c r="P90" s="66"/>
      <c r="Q90" s="66"/>
      <c r="R90" s="66"/>
      <c r="S90" s="66"/>
      <c r="T90" s="66"/>
      <c r="U90" s="66"/>
      <c r="V90" s="66"/>
      <c r="W90" s="66"/>
      <c r="X90" s="66"/>
    </row>
    <row r="91" spans="2:24" x14ac:dyDescent="0.2">
      <c r="B91" s="68"/>
      <c r="C91" s="68"/>
      <c r="D91" s="68"/>
      <c r="E91" s="68"/>
      <c r="F91" s="68"/>
      <c r="G91" s="17" t="s">
        <v>4</v>
      </c>
      <c r="H91" s="17">
        <v>83</v>
      </c>
      <c r="I91" s="13">
        <v>1.94</v>
      </c>
      <c r="J91" s="13">
        <v>1.62</v>
      </c>
      <c r="K91" s="13">
        <v>0.86333333333333295</v>
      </c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</row>
    <row r="92" spans="2:24" x14ac:dyDescent="0.2">
      <c r="B92" s="68"/>
      <c r="C92" s="68"/>
      <c r="D92" s="68"/>
      <c r="E92" s="68"/>
      <c r="F92" s="68"/>
      <c r="G92" s="17" t="s">
        <v>4</v>
      </c>
      <c r="H92" s="17">
        <v>84</v>
      </c>
      <c r="I92" s="13">
        <v>1.66</v>
      </c>
      <c r="J92" s="13">
        <v>1.448</v>
      </c>
      <c r="K92" s="13">
        <v>0.86666666666666703</v>
      </c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66"/>
    </row>
    <row r="93" spans="2:24" x14ac:dyDescent="0.2">
      <c r="B93" s="68"/>
      <c r="C93" s="68"/>
      <c r="D93" s="68"/>
      <c r="E93" s="68"/>
      <c r="F93" s="68"/>
      <c r="G93" s="17" t="s">
        <v>4</v>
      </c>
      <c r="H93" s="17">
        <v>85</v>
      </c>
      <c r="I93" s="13">
        <v>1.9833333333333301</v>
      </c>
      <c r="J93" s="13">
        <v>3.34</v>
      </c>
      <c r="K93" s="13">
        <v>0.92</v>
      </c>
      <c r="N93" s="66"/>
      <c r="O93" s="66"/>
      <c r="P93" s="66"/>
      <c r="Q93" s="66"/>
      <c r="R93" s="66"/>
      <c r="S93" s="66"/>
      <c r="T93" s="66"/>
      <c r="U93" s="66"/>
      <c r="V93" s="66"/>
      <c r="W93" s="66"/>
      <c r="X93" s="66"/>
    </row>
    <row r="94" spans="2:24" x14ac:dyDescent="0.2">
      <c r="B94" s="68"/>
      <c r="C94" s="68"/>
      <c r="D94" s="68"/>
      <c r="E94" s="68"/>
      <c r="F94" s="68"/>
      <c r="G94" s="17" t="s">
        <v>4</v>
      </c>
      <c r="H94" s="17">
        <v>86</v>
      </c>
      <c r="I94" s="13">
        <v>1.9950000000000001</v>
      </c>
      <c r="J94" s="13">
        <v>1.762</v>
      </c>
      <c r="K94" s="13">
        <v>0.89</v>
      </c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</row>
    <row r="95" spans="2:24" x14ac:dyDescent="0.2">
      <c r="B95" s="68"/>
      <c r="C95" s="68"/>
      <c r="D95" s="68"/>
      <c r="E95" s="68"/>
      <c r="F95" s="68"/>
      <c r="G95" s="17" t="s">
        <v>4</v>
      </c>
      <c r="H95" s="17">
        <v>87</v>
      </c>
      <c r="I95" s="13">
        <v>1.82666666666667</v>
      </c>
      <c r="J95" s="13">
        <v>1.6120000000000001</v>
      </c>
      <c r="K95" s="13">
        <v>0.8075</v>
      </c>
      <c r="N95" s="66"/>
      <c r="O95" s="66"/>
      <c r="P95" s="79"/>
      <c r="Q95" s="79"/>
      <c r="R95" s="79"/>
      <c r="S95" s="66"/>
      <c r="T95" s="66"/>
      <c r="U95" s="66"/>
      <c r="V95" s="66"/>
      <c r="W95" s="66"/>
      <c r="X95" s="66"/>
    </row>
    <row r="96" spans="2:24" x14ac:dyDescent="0.2">
      <c r="B96" s="68"/>
      <c r="C96" s="68"/>
      <c r="D96" s="68"/>
      <c r="E96" s="68"/>
      <c r="F96" s="68"/>
      <c r="G96" s="17" t="s">
        <v>4</v>
      </c>
      <c r="H96" s="17">
        <v>88</v>
      </c>
      <c r="I96" s="13">
        <v>1.88</v>
      </c>
      <c r="J96" s="13">
        <v>1.6459999999999999</v>
      </c>
      <c r="K96" s="13">
        <v>0.86250000000000004</v>
      </c>
      <c r="N96" s="66"/>
      <c r="O96" s="66"/>
      <c r="P96" s="79"/>
      <c r="Q96" s="79"/>
      <c r="R96" s="79"/>
      <c r="S96" s="66"/>
      <c r="T96" s="66"/>
      <c r="U96" s="66"/>
      <c r="V96" s="66"/>
      <c r="W96" s="66"/>
      <c r="X96" s="66"/>
    </row>
    <row r="97" spans="2:24" x14ac:dyDescent="0.2">
      <c r="B97" s="68"/>
      <c r="C97" s="68"/>
      <c r="D97" s="68"/>
      <c r="E97" s="68"/>
      <c r="F97" s="68"/>
      <c r="G97" s="17" t="s">
        <v>4</v>
      </c>
      <c r="H97" s="17">
        <v>89</v>
      </c>
      <c r="I97" s="105">
        <v>1.895</v>
      </c>
      <c r="J97" s="13">
        <v>2.1219999999999999</v>
      </c>
      <c r="K97" s="13">
        <v>0.85</v>
      </c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</row>
    <row r="98" spans="2:24" x14ac:dyDescent="0.2">
      <c r="B98" s="68"/>
      <c r="C98" s="68"/>
      <c r="D98" s="68"/>
      <c r="E98" s="68"/>
      <c r="F98" s="68"/>
      <c r="G98" s="17" t="s">
        <v>4</v>
      </c>
      <c r="H98" s="17">
        <v>90</v>
      </c>
      <c r="I98" s="105">
        <v>1.8674999999999999</v>
      </c>
      <c r="J98" s="13">
        <v>1.6319999999999999</v>
      </c>
      <c r="K98" s="13">
        <v>0.82750000000000001</v>
      </c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</row>
    <row r="99" spans="2:24" x14ac:dyDescent="0.2">
      <c r="B99" s="68"/>
      <c r="C99" s="68"/>
      <c r="D99" s="68"/>
      <c r="E99" s="68"/>
      <c r="F99" s="68"/>
      <c r="G99" s="68"/>
      <c r="H99" s="68"/>
      <c r="I99" s="106"/>
      <c r="J99" s="84"/>
      <c r="K99" s="84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</row>
    <row r="100" spans="2:24" x14ac:dyDescent="0.2">
      <c r="B100" s="517" t="s">
        <v>1</v>
      </c>
      <c r="C100" s="518"/>
      <c r="D100" s="518"/>
      <c r="E100" s="519"/>
      <c r="F100" s="188"/>
      <c r="G100" s="68"/>
      <c r="H100" s="517" t="s">
        <v>296</v>
      </c>
      <c r="I100" s="518"/>
      <c r="J100" s="518"/>
      <c r="K100" s="519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</row>
    <row r="101" spans="2:24" x14ac:dyDescent="0.2">
      <c r="B101" s="17"/>
      <c r="C101" s="69" t="s">
        <v>297</v>
      </c>
      <c r="D101" s="69" t="s">
        <v>298</v>
      </c>
      <c r="E101" s="69" t="s">
        <v>299</v>
      </c>
      <c r="F101" s="100"/>
      <c r="G101" s="68"/>
      <c r="H101" s="17"/>
      <c r="I101" s="69" t="s">
        <v>297</v>
      </c>
      <c r="J101" s="69" t="s">
        <v>298</v>
      </c>
      <c r="K101" s="69" t="s">
        <v>299</v>
      </c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</row>
    <row r="102" spans="2:24" x14ac:dyDescent="0.2">
      <c r="B102" s="17" t="s">
        <v>51</v>
      </c>
      <c r="C102" s="13">
        <f>AVERAGE(C9:C37)</f>
        <v>1.7376724137931034</v>
      </c>
      <c r="D102" s="17">
        <f>AVERAGE(D9:D37)</f>
        <v>1.5202413793103449</v>
      </c>
      <c r="E102" s="13">
        <f>AVERAGE(E9:E37)</f>
        <v>0.98034482758620667</v>
      </c>
      <c r="F102" s="84"/>
      <c r="G102" s="9"/>
      <c r="H102" s="17" t="s">
        <v>51</v>
      </c>
      <c r="I102" s="13">
        <f>AVERAGE(I9:I98)</f>
        <v>1.8844259259259266</v>
      </c>
      <c r="J102" s="17">
        <f>AVERAGE(J9:J98)</f>
        <v>1.6447722222222221</v>
      </c>
      <c r="K102" s="17">
        <f>AVERAGE(K9:K100)</f>
        <v>0.97781481481481514</v>
      </c>
    </row>
    <row r="103" spans="2:24" x14ac:dyDescent="0.2">
      <c r="B103" s="17" t="s">
        <v>13</v>
      </c>
      <c r="C103" s="17">
        <f>STDEV(C9:C37)</f>
        <v>0.10205463136600527</v>
      </c>
      <c r="D103" s="17">
        <f>STDEV(D9:D37)</f>
        <v>0.12066827467199186</v>
      </c>
      <c r="E103" s="17">
        <f>STDEV(E9:E37)</f>
        <v>0.18251991591175465</v>
      </c>
      <c r="F103" s="68"/>
      <c r="G103" s="9"/>
      <c r="H103" s="17" t="s">
        <v>13</v>
      </c>
      <c r="I103" s="17">
        <f>STDEV(I9:I98)</f>
        <v>0.24635832802486937</v>
      </c>
      <c r="J103" s="17">
        <f>STDEV(J9:J98)</f>
        <v>0.22071782994511538</v>
      </c>
      <c r="K103" s="17">
        <f>STDEV(K9:K98)</f>
        <v>0.21895573641638322</v>
      </c>
    </row>
    <row r="104" spans="2:24" x14ac:dyDescent="0.2">
      <c r="B104" s="17" t="s">
        <v>14</v>
      </c>
      <c r="C104" s="45">
        <f>C103/(29^0.5)</f>
        <v>1.8951069284044716E-2</v>
      </c>
      <c r="D104" s="45">
        <f>D103/(29^0.5)</f>
        <v>2.2407536072456911E-2</v>
      </c>
      <c r="E104" s="45">
        <f>E103/(29^0.5)</f>
        <v>3.3893097509280351E-2</v>
      </c>
      <c r="F104" s="97"/>
      <c r="G104" s="9"/>
      <c r="H104" s="17" t="s">
        <v>14</v>
      </c>
      <c r="I104" s="45">
        <f>I103/(90^0.5)</f>
        <v>2.5968447903649265E-2</v>
      </c>
      <c r="J104" s="45">
        <f>J103/(90^0.5)</f>
        <v>2.3265702094542724E-2</v>
      </c>
      <c r="K104" s="45">
        <f>K103/(90^0.5)</f>
        <v>2.307996112784149E-2</v>
      </c>
    </row>
    <row r="105" spans="2:24" x14ac:dyDescent="0.2">
      <c r="B105" s="9"/>
      <c r="C105" s="9"/>
      <c r="D105" s="9"/>
      <c r="E105" s="9"/>
      <c r="F105" s="9"/>
      <c r="G105" s="9"/>
      <c r="H105" s="9"/>
      <c r="I105" s="9"/>
      <c r="J105" s="9"/>
      <c r="K105" s="9"/>
    </row>
    <row r="106" spans="2:24" x14ac:dyDescent="0.2">
      <c r="B106" s="9"/>
      <c r="C106" s="52"/>
      <c r="D106" s="9"/>
      <c r="E106" s="9"/>
      <c r="F106" s="9"/>
      <c r="G106" s="9"/>
      <c r="H106" s="9"/>
      <c r="I106" s="9"/>
      <c r="J106" s="9"/>
      <c r="K106" s="9"/>
    </row>
    <row r="107" spans="2:24" ht="18" x14ac:dyDescent="0.2">
      <c r="B107" s="19" t="s">
        <v>52</v>
      </c>
      <c r="C107" s="20"/>
      <c r="D107" s="20"/>
      <c r="E107" s="20"/>
      <c r="F107" s="20"/>
      <c r="G107" s="42"/>
      <c r="H107" s="9"/>
      <c r="I107" s="9"/>
      <c r="J107" s="9"/>
      <c r="K107" s="9"/>
    </row>
    <row r="109" spans="2:24" x14ac:dyDescent="0.2">
      <c r="B109" s="52" t="s">
        <v>312</v>
      </c>
    </row>
    <row r="110" spans="2:24" x14ac:dyDescent="0.2">
      <c r="D110" s="48" t="s">
        <v>203</v>
      </c>
      <c r="E110" s="48" t="s">
        <v>296</v>
      </c>
      <c r="F110" s="48"/>
    </row>
    <row r="111" spans="2:24" x14ac:dyDescent="0.2">
      <c r="B111" s="2" t="s">
        <v>243</v>
      </c>
      <c r="D111" s="46"/>
      <c r="E111" s="46"/>
      <c r="F111" s="46"/>
    </row>
    <row r="112" spans="2:24" x14ac:dyDescent="0.2">
      <c r="B112" s="2" t="s">
        <v>244</v>
      </c>
      <c r="D112" s="46">
        <v>0.96160000000000001</v>
      </c>
      <c r="E112" s="46">
        <v>0.84019999999999995</v>
      </c>
      <c r="F112" s="46"/>
    </row>
    <row r="113" spans="2:6" x14ac:dyDescent="0.2">
      <c r="B113" s="2" t="s">
        <v>36</v>
      </c>
      <c r="D113" s="46">
        <v>0.36</v>
      </c>
      <c r="E113" s="46" t="s">
        <v>176</v>
      </c>
      <c r="F113" s="46"/>
    </row>
    <row r="114" spans="2:6" x14ac:dyDescent="0.2">
      <c r="B114" s="2" t="s">
        <v>245</v>
      </c>
      <c r="D114" s="46" t="s">
        <v>41</v>
      </c>
      <c r="E114" s="46" t="s">
        <v>49</v>
      </c>
      <c r="F114" s="46"/>
    </row>
    <row r="115" spans="2:6" x14ac:dyDescent="0.2">
      <c r="B115" s="2" t="s">
        <v>37</v>
      </c>
      <c r="D115" s="46" t="s">
        <v>9</v>
      </c>
      <c r="E115" s="46" t="s">
        <v>10</v>
      </c>
      <c r="F115" s="46"/>
    </row>
    <row r="118" spans="2:6" x14ac:dyDescent="0.2">
      <c r="B118" s="2" t="s">
        <v>301</v>
      </c>
      <c r="E118" s="1"/>
      <c r="F118" s="1"/>
    </row>
    <row r="119" spans="2:6" x14ac:dyDescent="0.2">
      <c r="B119" s="2" t="s">
        <v>36</v>
      </c>
      <c r="E119" s="46" t="s">
        <v>176</v>
      </c>
      <c r="F119" s="46"/>
    </row>
    <row r="120" spans="2:6" x14ac:dyDescent="0.2">
      <c r="B120" s="2" t="s">
        <v>247</v>
      </c>
      <c r="E120" s="46" t="s">
        <v>302</v>
      </c>
      <c r="F120" s="46"/>
    </row>
    <row r="121" spans="2:6" x14ac:dyDescent="0.2">
      <c r="B121" s="2" t="s">
        <v>37</v>
      </c>
      <c r="E121" s="46" t="s">
        <v>10</v>
      </c>
      <c r="F121" s="46"/>
    </row>
    <row r="122" spans="2:6" x14ac:dyDescent="0.2">
      <c r="B122" s="2" t="s">
        <v>303</v>
      </c>
      <c r="E122" s="46" t="s">
        <v>41</v>
      </c>
      <c r="F122" s="46"/>
    </row>
    <row r="123" spans="2:6" x14ac:dyDescent="0.2">
      <c r="B123" s="2" t="s">
        <v>304</v>
      </c>
      <c r="E123" s="46" t="s">
        <v>305</v>
      </c>
      <c r="F123" s="46"/>
    </row>
    <row r="124" spans="2:6" x14ac:dyDescent="0.2">
      <c r="B124" s="2" t="s">
        <v>306</v>
      </c>
      <c r="E124" s="46" t="s">
        <v>323</v>
      </c>
      <c r="F124" s="46"/>
    </row>
    <row r="125" spans="2:6" x14ac:dyDescent="0.2">
      <c r="B125" s="2" t="s">
        <v>308</v>
      </c>
      <c r="E125" s="1">
        <v>645.5</v>
      </c>
      <c r="F125" s="1"/>
    </row>
    <row r="128" spans="2:6" x14ac:dyDescent="0.2">
      <c r="B128" s="52" t="s">
        <v>313</v>
      </c>
    </row>
    <row r="129" spans="2:6" x14ac:dyDescent="0.2">
      <c r="D129" s="48" t="s">
        <v>203</v>
      </c>
      <c r="E129" s="48" t="s">
        <v>296</v>
      </c>
      <c r="F129" s="48"/>
    </row>
    <row r="130" spans="2:6" x14ac:dyDescent="0.2">
      <c r="B130" s="2" t="s">
        <v>243</v>
      </c>
      <c r="C130" s="1"/>
      <c r="D130" s="1"/>
    </row>
    <row r="131" spans="2:6" x14ac:dyDescent="0.2">
      <c r="B131" s="2" t="s">
        <v>244</v>
      </c>
      <c r="D131" s="46">
        <v>0.97740000000000005</v>
      </c>
      <c r="E131" s="46">
        <v>0.58409999999999995</v>
      </c>
      <c r="F131" s="46"/>
    </row>
    <row r="132" spans="2:6" x14ac:dyDescent="0.2">
      <c r="B132" s="2" t="s">
        <v>36</v>
      </c>
      <c r="D132" s="46">
        <v>0.76870000000000005</v>
      </c>
      <c r="E132" s="46" t="s">
        <v>176</v>
      </c>
      <c r="F132" s="46"/>
    </row>
    <row r="133" spans="2:6" x14ac:dyDescent="0.2">
      <c r="B133" s="2" t="s">
        <v>245</v>
      </c>
      <c r="D133" s="46" t="s">
        <v>41</v>
      </c>
      <c r="E133" s="46" t="s">
        <v>49</v>
      </c>
      <c r="F133" s="46"/>
    </row>
    <row r="134" spans="2:6" x14ac:dyDescent="0.2">
      <c r="B134" s="2" t="s">
        <v>37</v>
      </c>
      <c r="D134" s="46" t="s">
        <v>9</v>
      </c>
      <c r="E134" s="46" t="s">
        <v>10</v>
      </c>
      <c r="F134" s="46"/>
    </row>
    <row r="136" spans="2:6" x14ac:dyDescent="0.2">
      <c r="B136" s="2" t="s">
        <v>301</v>
      </c>
      <c r="E136" s="46"/>
      <c r="F136" s="46"/>
    </row>
    <row r="137" spans="2:6" x14ac:dyDescent="0.2">
      <c r="B137" s="2" t="s">
        <v>36</v>
      </c>
      <c r="E137" s="46" t="s">
        <v>176</v>
      </c>
      <c r="F137" s="46"/>
    </row>
    <row r="138" spans="2:6" x14ac:dyDescent="0.2">
      <c r="B138" s="2" t="s">
        <v>247</v>
      </c>
      <c r="E138" s="46" t="s">
        <v>302</v>
      </c>
      <c r="F138" s="46"/>
    </row>
    <row r="139" spans="2:6" x14ac:dyDescent="0.2">
      <c r="B139" s="2" t="s">
        <v>37</v>
      </c>
      <c r="E139" s="46" t="s">
        <v>10</v>
      </c>
      <c r="F139" s="46"/>
    </row>
    <row r="140" spans="2:6" x14ac:dyDescent="0.2">
      <c r="B140" s="2" t="s">
        <v>303</v>
      </c>
      <c r="E140" s="46" t="s">
        <v>41</v>
      </c>
      <c r="F140" s="46"/>
    </row>
    <row r="141" spans="2:6" x14ac:dyDescent="0.2">
      <c r="B141" s="2" t="s">
        <v>304</v>
      </c>
      <c r="E141" s="46" t="s">
        <v>305</v>
      </c>
      <c r="F141" s="46"/>
    </row>
    <row r="142" spans="2:6" x14ac:dyDescent="0.2">
      <c r="B142" s="2" t="s">
        <v>306</v>
      </c>
      <c r="E142" s="46" t="s">
        <v>324</v>
      </c>
      <c r="F142" s="46"/>
    </row>
    <row r="143" spans="2:6" x14ac:dyDescent="0.2">
      <c r="B143" s="2" t="s">
        <v>308</v>
      </c>
      <c r="E143" s="46">
        <v>668</v>
      </c>
      <c r="F143" s="46"/>
    </row>
    <row r="146" spans="2:6" x14ac:dyDescent="0.2">
      <c r="B146" s="52" t="s">
        <v>314</v>
      </c>
    </row>
    <row r="147" spans="2:6" x14ac:dyDescent="0.2">
      <c r="D147" s="48" t="s">
        <v>203</v>
      </c>
      <c r="E147" s="48" t="s">
        <v>296</v>
      </c>
      <c r="F147" s="48"/>
    </row>
    <row r="148" spans="2:6" x14ac:dyDescent="0.2">
      <c r="B148" s="2" t="s">
        <v>243</v>
      </c>
      <c r="C148" s="1"/>
      <c r="D148" s="1"/>
    </row>
    <row r="149" spans="2:6" x14ac:dyDescent="0.2">
      <c r="B149" s="2" t="s">
        <v>244</v>
      </c>
      <c r="D149" s="46">
        <v>0.7409</v>
      </c>
      <c r="E149" s="46">
        <v>0.67390000000000005</v>
      </c>
      <c r="F149" s="46"/>
    </row>
    <row r="150" spans="2:6" x14ac:dyDescent="0.2">
      <c r="B150" s="2" t="s">
        <v>36</v>
      </c>
      <c r="D150" s="46" t="s">
        <v>176</v>
      </c>
      <c r="E150" s="46" t="s">
        <v>176</v>
      </c>
      <c r="F150" s="46"/>
    </row>
    <row r="151" spans="2:6" x14ac:dyDescent="0.2">
      <c r="B151" s="2" t="s">
        <v>245</v>
      </c>
      <c r="D151" s="46" t="s">
        <v>49</v>
      </c>
      <c r="E151" s="46" t="s">
        <v>49</v>
      </c>
      <c r="F151" s="46"/>
    </row>
    <row r="152" spans="2:6" x14ac:dyDescent="0.2">
      <c r="B152" s="2" t="s">
        <v>37</v>
      </c>
      <c r="D152" s="46" t="s">
        <v>177</v>
      </c>
      <c r="E152" s="46" t="s">
        <v>177</v>
      </c>
      <c r="F152" s="46"/>
    </row>
    <row r="154" spans="2:6" x14ac:dyDescent="0.2">
      <c r="B154" s="2" t="s">
        <v>301</v>
      </c>
      <c r="E154" s="46"/>
      <c r="F154" s="46"/>
    </row>
    <row r="155" spans="2:6" x14ac:dyDescent="0.2">
      <c r="B155" s="2" t="s">
        <v>36</v>
      </c>
      <c r="E155" s="46">
        <v>0.90569999999999995</v>
      </c>
      <c r="F155" s="46"/>
    </row>
    <row r="156" spans="2:6" x14ac:dyDescent="0.2">
      <c r="B156" s="2" t="s">
        <v>247</v>
      </c>
      <c r="E156" s="46" t="s">
        <v>302</v>
      </c>
      <c r="F156" s="46"/>
    </row>
    <row r="157" spans="2:6" x14ac:dyDescent="0.2">
      <c r="B157" s="2" t="s">
        <v>37</v>
      </c>
      <c r="E157" s="46" t="s">
        <v>9</v>
      </c>
      <c r="F157" s="46"/>
    </row>
    <row r="158" spans="2:6" x14ac:dyDescent="0.2">
      <c r="B158" s="2" t="s">
        <v>303</v>
      </c>
      <c r="E158" s="46" t="s">
        <v>49</v>
      </c>
      <c r="F158" s="46"/>
    </row>
    <row r="159" spans="2:6" x14ac:dyDescent="0.2">
      <c r="B159" s="2" t="s">
        <v>304</v>
      </c>
      <c r="E159" s="46" t="s">
        <v>305</v>
      </c>
      <c r="F159" s="46"/>
    </row>
    <row r="160" spans="2:6" x14ac:dyDescent="0.2">
      <c r="B160" s="2" t="s">
        <v>306</v>
      </c>
      <c r="E160" s="46" t="s">
        <v>325</v>
      </c>
      <c r="F160" s="46"/>
    </row>
    <row r="161" spans="2:6" x14ac:dyDescent="0.2">
      <c r="B161" s="2" t="s">
        <v>308</v>
      </c>
      <c r="E161" s="46">
        <v>1286</v>
      </c>
      <c r="F161" s="46"/>
    </row>
  </sheetData>
  <mergeCells count="4">
    <mergeCell ref="B7:E7"/>
    <mergeCell ref="H7:K7"/>
    <mergeCell ref="B100:E100"/>
    <mergeCell ref="H100:K100"/>
  </mergeCells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2:AL99"/>
  <sheetViews>
    <sheetView zoomScale="78" zoomScaleNormal="78" zoomScalePageLayoutView="78" workbookViewId="0">
      <selection activeCell="S49" sqref="S49"/>
    </sheetView>
  </sheetViews>
  <sheetFormatPr baseColWidth="10" defaultRowHeight="16" x14ac:dyDescent="0.2"/>
  <cols>
    <col min="1" max="1" width="16.1640625" customWidth="1"/>
    <col min="2" max="2" width="14.83203125" customWidth="1"/>
    <col min="4" max="4" width="15.1640625" customWidth="1"/>
    <col min="5" max="5" width="11.6640625" customWidth="1"/>
    <col min="7" max="7" width="15.5" customWidth="1"/>
    <col min="10" max="11" width="15.1640625" customWidth="1"/>
    <col min="13" max="13" width="15.6640625" customWidth="1"/>
    <col min="16" max="17" width="15.6640625" customWidth="1"/>
  </cols>
  <sheetData>
    <row r="2" spans="1:33" ht="18" x14ac:dyDescent="0.2">
      <c r="A2" s="53" t="s">
        <v>1183</v>
      </c>
      <c r="B2" s="8"/>
      <c r="C2" s="42"/>
      <c r="D2" s="9"/>
      <c r="E2" s="9"/>
      <c r="J2" s="9"/>
      <c r="K2" s="9"/>
      <c r="L2" s="9"/>
      <c r="M2" s="9"/>
      <c r="N2" s="9"/>
    </row>
    <row r="3" spans="1:33" ht="18" x14ac:dyDescent="0.2">
      <c r="A3" s="80"/>
      <c r="B3" s="42"/>
      <c r="C3" s="42"/>
      <c r="D3" s="9"/>
      <c r="E3" s="9"/>
      <c r="J3" s="9"/>
      <c r="K3" s="9"/>
      <c r="L3" s="9"/>
      <c r="M3" s="9"/>
      <c r="N3" s="9"/>
    </row>
    <row r="4" spans="1:33" ht="18" x14ac:dyDescent="0.2">
      <c r="A4" s="53" t="s">
        <v>604</v>
      </c>
      <c r="B4" s="8"/>
      <c r="C4" s="8"/>
      <c r="D4" s="8"/>
      <c r="E4" s="42"/>
      <c r="F4" s="42"/>
      <c r="G4" s="42"/>
      <c r="J4" s="9"/>
      <c r="K4" s="9"/>
      <c r="L4" s="9"/>
      <c r="M4" s="9"/>
      <c r="N4" s="9"/>
    </row>
    <row r="5" spans="1:33" x14ac:dyDescent="0.2">
      <c r="A5" s="9"/>
      <c r="B5" s="9"/>
      <c r="C5" s="9"/>
      <c r="D5" s="9"/>
      <c r="E5" s="9"/>
      <c r="J5" s="9"/>
      <c r="K5" s="9"/>
      <c r="L5" s="9"/>
      <c r="M5" s="9"/>
      <c r="N5" s="9"/>
    </row>
    <row r="6" spans="1:33" ht="19" x14ac:dyDescent="0.25">
      <c r="A6" s="109"/>
      <c r="B6" s="14" t="s">
        <v>329</v>
      </c>
      <c r="C6" s="14"/>
      <c r="D6" s="14"/>
      <c r="E6" s="14"/>
      <c r="J6" s="109"/>
      <c r="K6" s="14" t="s">
        <v>329</v>
      </c>
      <c r="L6" s="14"/>
      <c r="M6" s="14"/>
      <c r="N6" s="14"/>
      <c r="S6" s="109"/>
      <c r="T6" s="14" t="s">
        <v>329</v>
      </c>
      <c r="U6" s="14"/>
      <c r="V6" s="14"/>
      <c r="W6" s="14"/>
      <c r="AB6" s="109"/>
      <c r="AC6" s="14" t="s">
        <v>329</v>
      </c>
      <c r="AD6" s="14"/>
      <c r="AE6" s="14"/>
      <c r="AF6" s="14"/>
    </row>
    <row r="7" spans="1:33" x14ac:dyDescent="0.2">
      <c r="A7" s="9"/>
      <c r="B7" s="9"/>
      <c r="C7" s="9"/>
      <c r="D7" s="9"/>
      <c r="E7" s="9"/>
      <c r="J7" s="9"/>
      <c r="K7" s="9"/>
      <c r="L7" s="9"/>
      <c r="M7" s="9"/>
      <c r="N7" s="9"/>
      <c r="S7" s="9"/>
      <c r="T7" s="9"/>
      <c r="U7" s="9"/>
      <c r="V7" s="9"/>
      <c r="W7" s="9"/>
      <c r="AB7" s="9"/>
      <c r="AC7" s="9"/>
      <c r="AD7" s="9"/>
      <c r="AE7" s="9"/>
      <c r="AF7" s="9"/>
    </row>
    <row r="8" spans="1:33" x14ac:dyDescent="0.2">
      <c r="A8" s="9"/>
      <c r="B8" s="9" t="s">
        <v>179</v>
      </c>
      <c r="C8" s="9"/>
      <c r="D8" s="9"/>
      <c r="E8" s="9"/>
      <c r="J8" s="9"/>
      <c r="K8" s="9" t="s">
        <v>179</v>
      </c>
      <c r="L8" s="9"/>
      <c r="M8" s="9"/>
      <c r="N8" s="9"/>
      <c r="S8" s="9"/>
      <c r="T8" s="9" t="s">
        <v>180</v>
      </c>
      <c r="U8" s="9"/>
      <c r="V8" s="9"/>
      <c r="W8" s="9"/>
      <c r="AB8" s="9"/>
      <c r="AC8" s="9" t="s">
        <v>180</v>
      </c>
      <c r="AD8" s="9"/>
      <c r="AE8" s="9"/>
      <c r="AF8" s="9"/>
    </row>
    <row r="9" spans="1:33" x14ac:dyDescent="0.2">
      <c r="A9" s="9"/>
      <c r="B9" s="58"/>
      <c r="D9" s="9"/>
      <c r="E9" s="9"/>
      <c r="J9" s="9"/>
      <c r="K9" s="58"/>
      <c r="M9" s="9"/>
      <c r="N9" s="9"/>
      <c r="S9" s="9"/>
      <c r="T9" s="58"/>
      <c r="V9" s="9"/>
      <c r="W9" s="9"/>
      <c r="AB9" s="9"/>
      <c r="AC9" s="58"/>
      <c r="AE9" s="9"/>
      <c r="AF9" s="9"/>
    </row>
    <row r="10" spans="1:33" x14ac:dyDescent="0.2">
      <c r="A10" s="9"/>
      <c r="B10" s="59" t="s">
        <v>181</v>
      </c>
      <c r="C10" s="60" t="s">
        <v>330</v>
      </c>
      <c r="D10" s="60" t="s">
        <v>331</v>
      </c>
      <c r="E10" s="60" t="s">
        <v>332</v>
      </c>
      <c r="J10" s="9"/>
      <c r="K10" s="59" t="s">
        <v>185</v>
      </c>
      <c r="L10" s="60" t="s">
        <v>330</v>
      </c>
      <c r="M10" s="60" t="s">
        <v>331</v>
      </c>
      <c r="N10" s="60" t="s">
        <v>332</v>
      </c>
      <c r="S10" s="9"/>
      <c r="T10" s="59" t="s">
        <v>181</v>
      </c>
      <c r="U10" s="60" t="s">
        <v>333</v>
      </c>
      <c r="V10" s="60" t="s">
        <v>334</v>
      </c>
      <c r="W10" s="60" t="s">
        <v>335</v>
      </c>
      <c r="X10" s="60" t="s">
        <v>336</v>
      </c>
      <c r="AB10" s="9"/>
      <c r="AC10" s="59" t="s">
        <v>185</v>
      </c>
      <c r="AD10" s="60" t="s">
        <v>333</v>
      </c>
      <c r="AE10" s="60" t="s">
        <v>334</v>
      </c>
      <c r="AF10" s="60" t="s">
        <v>335</v>
      </c>
      <c r="AG10" s="60" t="s">
        <v>336</v>
      </c>
    </row>
    <row r="11" spans="1:33" x14ac:dyDescent="0.2">
      <c r="A11" s="9"/>
      <c r="B11" s="61" t="s">
        <v>598</v>
      </c>
      <c r="C11" s="55">
        <f>U11/X11*100</f>
        <v>96.466431095406364</v>
      </c>
      <c r="D11" s="55">
        <f>V11/X11*100</f>
        <v>3.1802120141342751</v>
      </c>
      <c r="E11" s="55">
        <f>W11/X11*100</f>
        <v>0.35335689045936397</v>
      </c>
      <c r="J11" s="9"/>
      <c r="K11" s="61" t="s">
        <v>598</v>
      </c>
      <c r="L11" s="55">
        <f>AD11/AG11*100</f>
        <v>91.353383458646618</v>
      </c>
      <c r="M11" s="55">
        <f>AE11/AG11*100</f>
        <v>8.2706766917293226</v>
      </c>
      <c r="N11" s="55">
        <f>AF11/AG11*100</f>
        <v>0.37593984962406013</v>
      </c>
      <c r="S11" s="9"/>
      <c r="T11" s="61" t="s">
        <v>189</v>
      </c>
      <c r="U11" s="55">
        <v>273</v>
      </c>
      <c r="V11" s="55">
        <v>9</v>
      </c>
      <c r="W11" s="55">
        <v>1</v>
      </c>
      <c r="X11" s="55">
        <v>283</v>
      </c>
      <c r="AB11" s="9"/>
      <c r="AC11" s="61" t="s">
        <v>189</v>
      </c>
      <c r="AD11" s="55">
        <v>486</v>
      </c>
      <c r="AE11" s="55">
        <v>44</v>
      </c>
      <c r="AF11" s="55">
        <v>2</v>
      </c>
      <c r="AG11" s="55">
        <v>532</v>
      </c>
    </row>
    <row r="12" spans="1:33" x14ac:dyDescent="0.2">
      <c r="A12" s="9"/>
      <c r="B12" s="61" t="s">
        <v>599</v>
      </c>
      <c r="C12" s="55">
        <f t="shared" ref="C12:C15" si="0">U12/X12*100</f>
        <v>97.204968944099377</v>
      </c>
      <c r="D12" s="55">
        <f t="shared" ref="D12:D15" si="1">V12/X12*100</f>
        <v>2.4844720496894408</v>
      </c>
      <c r="E12" s="55">
        <f t="shared" ref="E12:E15" si="2">W12/X12*100</f>
        <v>0.3105590062111801</v>
      </c>
      <c r="J12" s="9"/>
      <c r="K12" s="61" t="s">
        <v>599</v>
      </c>
      <c r="L12" s="55">
        <f>AD12/AG12*100</f>
        <v>92.119565217391312</v>
      </c>
      <c r="M12" s="55">
        <f t="shared" ref="M12:M14" si="3">AE12/AG12*100</f>
        <v>7.608695652173914</v>
      </c>
      <c r="N12" s="55">
        <f t="shared" ref="N12:N13" si="4">AF12/AG12*100</f>
        <v>0.27173913043478259</v>
      </c>
      <c r="S12" s="9"/>
      <c r="T12" s="61" t="s">
        <v>190</v>
      </c>
      <c r="U12" s="55">
        <v>313</v>
      </c>
      <c r="V12" s="55">
        <v>8</v>
      </c>
      <c r="W12" s="55">
        <v>1</v>
      </c>
      <c r="X12" s="55">
        <v>322</v>
      </c>
      <c r="AB12" s="9"/>
      <c r="AC12" s="61" t="s">
        <v>190</v>
      </c>
      <c r="AD12" s="55">
        <v>339</v>
      </c>
      <c r="AE12" s="55">
        <v>28</v>
      </c>
      <c r="AF12" s="55">
        <v>1</v>
      </c>
      <c r="AG12" s="55">
        <v>368</v>
      </c>
    </row>
    <row r="13" spans="1:33" x14ac:dyDescent="0.2">
      <c r="A13" s="9"/>
      <c r="B13" s="61" t="s">
        <v>600</v>
      </c>
      <c r="C13" s="55">
        <f t="shared" si="0"/>
        <v>96.943231441048042</v>
      </c>
      <c r="D13" s="55">
        <f t="shared" si="1"/>
        <v>3.0567685589519651</v>
      </c>
      <c r="E13" s="55">
        <f t="shared" si="2"/>
        <v>0</v>
      </c>
      <c r="J13" s="9"/>
      <c r="K13" s="61" t="s">
        <v>600</v>
      </c>
      <c r="L13" s="55">
        <f t="shared" ref="L13:L14" si="5">AD13/AG13*100</f>
        <v>92.156862745098039</v>
      </c>
      <c r="M13" s="55">
        <f t="shared" si="3"/>
        <v>7.8431372549019605</v>
      </c>
      <c r="N13" s="55">
        <f t="shared" si="4"/>
        <v>0</v>
      </c>
      <c r="S13" s="9"/>
      <c r="T13" s="61" t="s">
        <v>191</v>
      </c>
      <c r="U13" s="55">
        <v>222</v>
      </c>
      <c r="V13" s="55">
        <v>7</v>
      </c>
      <c r="W13" s="55">
        <v>0</v>
      </c>
      <c r="X13" s="55">
        <v>229</v>
      </c>
      <c r="AB13" s="9"/>
      <c r="AC13" s="61" t="s">
        <v>191</v>
      </c>
      <c r="AD13" s="55">
        <v>141</v>
      </c>
      <c r="AE13" s="55">
        <v>12</v>
      </c>
      <c r="AF13" s="55">
        <v>0</v>
      </c>
      <c r="AG13" s="55">
        <v>153</v>
      </c>
    </row>
    <row r="14" spans="1:33" x14ac:dyDescent="0.2">
      <c r="A14" s="9"/>
      <c r="B14" s="61" t="s">
        <v>601</v>
      </c>
      <c r="C14" s="55">
        <f t="shared" si="0"/>
        <v>90.946502057613159</v>
      </c>
      <c r="D14" s="55">
        <f t="shared" si="1"/>
        <v>9.0534979423868318</v>
      </c>
      <c r="E14" s="55">
        <f t="shared" si="2"/>
        <v>0</v>
      </c>
      <c r="J14" s="9"/>
      <c r="K14" s="61" t="s">
        <v>601</v>
      </c>
      <c r="L14" s="55">
        <f t="shared" si="5"/>
        <v>90.389016018306634</v>
      </c>
      <c r="M14" s="55">
        <f t="shared" si="3"/>
        <v>9.3821510297482842</v>
      </c>
      <c r="N14" s="55">
        <f>AF14/AG14*100</f>
        <v>0.2288329519450801</v>
      </c>
      <c r="S14" s="9"/>
      <c r="T14" s="61" t="s">
        <v>192</v>
      </c>
      <c r="U14" s="55">
        <v>221</v>
      </c>
      <c r="V14" s="55">
        <v>22</v>
      </c>
      <c r="W14" s="55">
        <v>0</v>
      </c>
      <c r="X14" s="55">
        <v>243</v>
      </c>
      <c r="AB14" s="9"/>
      <c r="AC14" s="61" t="s">
        <v>192</v>
      </c>
      <c r="AD14" s="55">
        <v>395</v>
      </c>
      <c r="AE14" s="55">
        <v>41</v>
      </c>
      <c r="AF14" s="55">
        <v>1</v>
      </c>
      <c r="AG14" s="55">
        <v>437</v>
      </c>
    </row>
    <row r="15" spans="1:33" x14ac:dyDescent="0.2">
      <c r="A15" s="9"/>
      <c r="B15" s="61" t="s">
        <v>602</v>
      </c>
      <c r="C15" s="55">
        <f t="shared" si="0"/>
        <v>91.097922848664695</v>
      </c>
      <c r="D15" s="55">
        <f t="shared" si="1"/>
        <v>7.1216617210682491</v>
      </c>
      <c r="E15" s="55">
        <f t="shared" si="2"/>
        <v>1.7804154302670623</v>
      </c>
      <c r="J15" s="9"/>
      <c r="K15" s="64"/>
      <c r="L15" s="65"/>
      <c r="M15" s="64"/>
      <c r="N15" s="64"/>
      <c r="S15" s="9"/>
      <c r="T15" s="61" t="s">
        <v>193</v>
      </c>
      <c r="U15" s="55">
        <v>307</v>
      </c>
      <c r="V15" s="55">
        <v>24</v>
      </c>
      <c r="W15" s="55">
        <v>6</v>
      </c>
      <c r="X15" s="55">
        <v>337</v>
      </c>
      <c r="AB15" s="9"/>
      <c r="AC15" s="64"/>
      <c r="AD15" s="64"/>
      <c r="AE15" s="64"/>
      <c r="AF15" s="64"/>
      <c r="AG15" s="64"/>
    </row>
    <row r="16" spans="1:33" x14ac:dyDescent="0.2">
      <c r="A16" s="9"/>
      <c r="B16" s="64"/>
      <c r="C16" s="65"/>
      <c r="D16" s="64"/>
      <c r="E16" s="64"/>
      <c r="J16" s="9"/>
      <c r="K16" s="64"/>
      <c r="L16" s="64"/>
      <c r="M16" s="64"/>
      <c r="N16" s="64"/>
      <c r="S16" s="9"/>
      <c r="T16" s="63"/>
      <c r="U16" s="64"/>
      <c r="V16" s="64"/>
      <c r="W16" s="64"/>
      <c r="X16" s="64"/>
      <c r="AB16" s="9"/>
      <c r="AC16" s="64"/>
      <c r="AD16" s="64"/>
      <c r="AE16" s="64"/>
      <c r="AF16" s="64"/>
      <c r="AG16" s="64"/>
    </row>
    <row r="17" spans="1:33" x14ac:dyDescent="0.2">
      <c r="A17" s="9"/>
      <c r="B17" s="59" t="s">
        <v>181</v>
      </c>
      <c r="C17" s="60" t="s">
        <v>330</v>
      </c>
      <c r="D17" s="60" t="s">
        <v>331</v>
      </c>
      <c r="E17" s="60" t="s">
        <v>332</v>
      </c>
      <c r="J17" s="9"/>
      <c r="K17" s="59" t="s">
        <v>185</v>
      </c>
      <c r="L17" s="60" t="s">
        <v>330</v>
      </c>
      <c r="M17" s="60" t="s">
        <v>331</v>
      </c>
      <c r="N17" s="60" t="s">
        <v>332</v>
      </c>
      <c r="S17" s="9"/>
      <c r="T17" s="59" t="s">
        <v>181</v>
      </c>
      <c r="U17" s="60" t="s">
        <v>333</v>
      </c>
      <c r="V17" s="60" t="s">
        <v>334</v>
      </c>
      <c r="W17" s="60" t="s">
        <v>335</v>
      </c>
      <c r="X17" s="60" t="s">
        <v>336</v>
      </c>
      <c r="AB17" s="9"/>
      <c r="AC17" s="59" t="s">
        <v>185</v>
      </c>
      <c r="AD17" s="60" t="s">
        <v>333</v>
      </c>
      <c r="AE17" s="60" t="s">
        <v>334</v>
      </c>
      <c r="AF17" s="60" t="s">
        <v>335</v>
      </c>
      <c r="AG17" s="60" t="s">
        <v>336</v>
      </c>
    </row>
    <row r="18" spans="1:33" x14ac:dyDescent="0.2">
      <c r="A18" s="9"/>
      <c r="B18" s="59" t="s">
        <v>194</v>
      </c>
      <c r="C18" s="55">
        <f t="shared" ref="C18:C20" si="6">U18/X18*100</f>
        <v>92.276422764227632</v>
      </c>
      <c r="D18" s="55">
        <f t="shared" ref="D18:D20" si="7">V18/X18*100</f>
        <v>6.9105691056910574</v>
      </c>
      <c r="E18" s="55">
        <f t="shared" ref="E18:E20" si="8">W18/X18*100</f>
        <v>0.81300813008130091</v>
      </c>
      <c r="J18" s="9"/>
      <c r="K18" s="59" t="s">
        <v>194</v>
      </c>
      <c r="L18" s="55">
        <f t="shared" ref="L18:L20" si="9">AD18/AG18*100</f>
        <v>95.658682634730539</v>
      </c>
      <c r="M18" s="55">
        <f t="shared" ref="M18:M20" si="10">AE18/AG18*100</f>
        <v>4.1916167664670656</v>
      </c>
      <c r="N18" s="55">
        <f t="shared" ref="N18:N20" si="11">AF18/AG18*100</f>
        <v>0.14970059880239522</v>
      </c>
      <c r="S18" s="9"/>
      <c r="T18" s="59" t="s">
        <v>194</v>
      </c>
      <c r="U18" s="55">
        <v>227</v>
      </c>
      <c r="V18" s="55">
        <v>17</v>
      </c>
      <c r="W18" s="55">
        <v>2</v>
      </c>
      <c r="X18" s="55">
        <v>246</v>
      </c>
      <c r="AB18" s="9"/>
      <c r="AC18" s="59" t="s">
        <v>194</v>
      </c>
      <c r="AD18" s="55">
        <v>639</v>
      </c>
      <c r="AE18" s="55">
        <v>28</v>
      </c>
      <c r="AF18" s="55">
        <v>1</v>
      </c>
      <c r="AG18" s="55">
        <v>668</v>
      </c>
    </row>
    <row r="19" spans="1:33" x14ac:dyDescent="0.2">
      <c r="A19" s="9"/>
      <c r="B19" s="59" t="s">
        <v>195</v>
      </c>
      <c r="C19" s="55">
        <f t="shared" si="6"/>
        <v>90.361445783132538</v>
      </c>
      <c r="D19" s="55">
        <f t="shared" si="7"/>
        <v>8.4337349397590362</v>
      </c>
      <c r="E19" s="55">
        <f t="shared" si="8"/>
        <v>1.2048192771084338</v>
      </c>
      <c r="J19" s="9"/>
      <c r="K19" s="59" t="s">
        <v>195</v>
      </c>
      <c r="L19" s="55">
        <f t="shared" si="9"/>
        <v>92.327365728900261</v>
      </c>
      <c r="M19" s="55">
        <f t="shared" si="10"/>
        <v>7.4168797953964196</v>
      </c>
      <c r="N19" s="55">
        <f t="shared" si="11"/>
        <v>0.25575447570332482</v>
      </c>
      <c r="S19" s="9"/>
      <c r="T19" s="59" t="s">
        <v>195</v>
      </c>
      <c r="U19" s="55">
        <v>225</v>
      </c>
      <c r="V19" s="55">
        <v>21</v>
      </c>
      <c r="W19" s="55">
        <v>3</v>
      </c>
      <c r="X19" s="55">
        <v>249</v>
      </c>
      <c r="AB19" s="9"/>
      <c r="AC19" s="59" t="s">
        <v>195</v>
      </c>
      <c r="AD19" s="55">
        <v>361</v>
      </c>
      <c r="AE19" s="55">
        <v>29</v>
      </c>
      <c r="AF19" s="55">
        <v>1</v>
      </c>
      <c r="AG19" s="55">
        <v>391</v>
      </c>
    </row>
    <row r="20" spans="1:33" x14ac:dyDescent="0.2">
      <c r="B20" s="59" t="s">
        <v>196</v>
      </c>
      <c r="C20" s="55">
        <f t="shared" si="6"/>
        <v>96.066252587991713</v>
      </c>
      <c r="D20" s="55">
        <f t="shared" si="7"/>
        <v>3.1055900621118013</v>
      </c>
      <c r="E20" s="55">
        <f t="shared" si="8"/>
        <v>0.82815734989648038</v>
      </c>
      <c r="K20" s="59" t="s">
        <v>196</v>
      </c>
      <c r="L20" s="55">
        <f t="shared" si="9"/>
        <v>97.570850202429142</v>
      </c>
      <c r="M20" s="55">
        <f t="shared" si="10"/>
        <v>2.42914979757085</v>
      </c>
      <c r="N20" s="55">
        <f t="shared" si="11"/>
        <v>0</v>
      </c>
      <c r="T20" s="59" t="s">
        <v>196</v>
      </c>
      <c r="U20" s="55">
        <v>464</v>
      </c>
      <c r="V20" s="55">
        <v>15</v>
      </c>
      <c r="W20" s="55">
        <v>4</v>
      </c>
      <c r="X20" s="55">
        <v>483</v>
      </c>
      <c r="AC20" s="59" t="s">
        <v>196</v>
      </c>
      <c r="AD20" s="55">
        <v>241</v>
      </c>
      <c r="AE20" s="55">
        <v>6</v>
      </c>
      <c r="AF20" s="55">
        <v>0</v>
      </c>
      <c r="AG20" s="55">
        <v>247</v>
      </c>
    </row>
    <row r="21" spans="1:33" x14ac:dyDescent="0.2">
      <c r="B21" s="64"/>
      <c r="C21" s="65"/>
      <c r="D21" s="64"/>
      <c r="E21" s="64"/>
      <c r="K21" s="64"/>
      <c r="L21" s="65"/>
      <c r="M21" s="64"/>
      <c r="N21" s="64"/>
      <c r="T21" s="21"/>
      <c r="U21" s="64"/>
      <c r="V21" s="64"/>
      <c r="W21" s="64"/>
      <c r="X21" s="64"/>
      <c r="AC21" s="21"/>
      <c r="AD21" s="64"/>
      <c r="AE21" s="64"/>
      <c r="AF21" s="64"/>
      <c r="AG21" s="64"/>
    </row>
    <row r="22" spans="1:33" x14ac:dyDescent="0.2">
      <c r="B22" s="59" t="s">
        <v>181</v>
      </c>
      <c r="C22" s="60" t="s">
        <v>330</v>
      </c>
      <c r="D22" s="60" t="s">
        <v>331</v>
      </c>
      <c r="E22" s="60" t="s">
        <v>332</v>
      </c>
      <c r="K22" s="59" t="s">
        <v>185</v>
      </c>
      <c r="L22" s="60" t="s">
        <v>330</v>
      </c>
      <c r="M22" s="60" t="s">
        <v>331</v>
      </c>
      <c r="N22" s="60" t="s">
        <v>332</v>
      </c>
      <c r="T22" s="59" t="s">
        <v>181</v>
      </c>
      <c r="U22" s="60" t="s">
        <v>333</v>
      </c>
      <c r="V22" s="60" t="s">
        <v>334</v>
      </c>
      <c r="W22" s="60" t="s">
        <v>335</v>
      </c>
      <c r="X22" s="60" t="s">
        <v>336</v>
      </c>
      <c r="AC22" s="59" t="s">
        <v>185</v>
      </c>
      <c r="AD22" s="60" t="s">
        <v>333</v>
      </c>
      <c r="AE22" s="60" t="s">
        <v>334</v>
      </c>
      <c r="AF22" s="60" t="s">
        <v>335</v>
      </c>
      <c r="AG22" s="60" t="s">
        <v>336</v>
      </c>
    </row>
    <row r="23" spans="1:33" x14ac:dyDescent="0.2">
      <c r="B23" s="59" t="s">
        <v>197</v>
      </c>
      <c r="C23" s="55">
        <f t="shared" ref="C23:C25" si="12">U23/X23*100</f>
        <v>89.610389610389603</v>
      </c>
      <c r="D23" s="55">
        <f t="shared" ref="D23:D25" si="13">V23/X23*100</f>
        <v>10.38961038961039</v>
      </c>
      <c r="E23" s="55">
        <f t="shared" ref="E23:E25" si="14">W23/X23*100</f>
        <v>0</v>
      </c>
      <c r="K23" s="59" t="s">
        <v>197</v>
      </c>
      <c r="L23" s="55">
        <f t="shared" ref="L23:L25" si="15">AD23/AG23*100</f>
        <v>86.415094339622641</v>
      </c>
      <c r="M23" s="55">
        <f t="shared" ref="M23:M25" si="16">AE23/AG23*100</f>
        <v>12.075471698113208</v>
      </c>
      <c r="N23" s="55">
        <f t="shared" ref="N23:N25" si="17">AF23/AG23*100</f>
        <v>1.5094339622641511</v>
      </c>
      <c r="T23" s="59" t="s">
        <v>197</v>
      </c>
      <c r="U23" s="55">
        <v>207</v>
      </c>
      <c r="V23" s="55">
        <v>24</v>
      </c>
      <c r="W23" s="55">
        <v>0</v>
      </c>
      <c r="X23" s="55">
        <v>231</v>
      </c>
      <c r="AC23" s="59" t="s">
        <v>197</v>
      </c>
      <c r="AD23" s="55">
        <v>229</v>
      </c>
      <c r="AE23" s="55">
        <v>32</v>
      </c>
      <c r="AF23" s="55">
        <v>4</v>
      </c>
      <c r="AG23" s="55">
        <v>265</v>
      </c>
    </row>
    <row r="24" spans="1:33" x14ac:dyDescent="0.2">
      <c r="B24" s="59" t="s">
        <v>198</v>
      </c>
      <c r="C24" s="55">
        <f t="shared" si="12"/>
        <v>88.559322033898297</v>
      </c>
      <c r="D24" s="55">
        <f t="shared" si="13"/>
        <v>11.440677966101696</v>
      </c>
      <c r="E24" s="55">
        <f t="shared" si="14"/>
        <v>0</v>
      </c>
      <c r="K24" s="59" t="s">
        <v>198</v>
      </c>
      <c r="L24" s="55">
        <f t="shared" si="15"/>
        <v>88.505747126436788</v>
      </c>
      <c r="M24" s="55">
        <f t="shared" si="16"/>
        <v>10.344827586206897</v>
      </c>
      <c r="N24" s="55">
        <f t="shared" si="17"/>
        <v>1.1494252873563218</v>
      </c>
      <c r="T24" s="59" t="s">
        <v>198</v>
      </c>
      <c r="U24" s="55">
        <v>209</v>
      </c>
      <c r="V24" s="55">
        <v>27</v>
      </c>
      <c r="W24" s="55">
        <v>0</v>
      </c>
      <c r="X24" s="55">
        <v>236</v>
      </c>
      <c r="AC24" s="59" t="s">
        <v>198</v>
      </c>
      <c r="AD24" s="55">
        <v>308</v>
      </c>
      <c r="AE24" s="55">
        <v>36</v>
      </c>
      <c r="AF24" s="55">
        <v>4</v>
      </c>
      <c r="AG24" s="55">
        <v>348</v>
      </c>
    </row>
    <row r="25" spans="1:33" x14ac:dyDescent="0.2">
      <c r="B25" s="59" t="s">
        <v>199</v>
      </c>
      <c r="C25" s="55">
        <f t="shared" si="12"/>
        <v>92.018779342723008</v>
      </c>
      <c r="D25" s="55">
        <f t="shared" si="13"/>
        <v>7.042253521126761</v>
      </c>
      <c r="E25" s="55">
        <f t="shared" si="14"/>
        <v>0.93896713615023475</v>
      </c>
      <c r="K25" s="59" t="s">
        <v>199</v>
      </c>
      <c r="L25" s="55">
        <f t="shared" si="15"/>
        <v>89.930555555555557</v>
      </c>
      <c r="M25" s="55">
        <f t="shared" si="16"/>
        <v>9.7222222222222232</v>
      </c>
      <c r="N25" s="55">
        <f t="shared" si="17"/>
        <v>0.34722222222222221</v>
      </c>
      <c r="T25" s="59" t="s">
        <v>199</v>
      </c>
      <c r="U25" s="55">
        <v>196</v>
      </c>
      <c r="V25" s="55">
        <v>15</v>
      </c>
      <c r="W25" s="55">
        <v>2</v>
      </c>
      <c r="X25" s="55">
        <v>213</v>
      </c>
      <c r="AC25" s="59" t="s">
        <v>199</v>
      </c>
      <c r="AD25" s="55">
        <v>259</v>
      </c>
      <c r="AE25" s="55">
        <v>28</v>
      </c>
      <c r="AF25" s="55">
        <v>1</v>
      </c>
      <c r="AG25" s="55">
        <v>288</v>
      </c>
    </row>
    <row r="26" spans="1:33" x14ac:dyDescent="0.2">
      <c r="B26" s="64"/>
      <c r="C26" s="65"/>
      <c r="D26" s="64"/>
      <c r="E26" s="64"/>
      <c r="K26" s="64"/>
      <c r="L26" s="65"/>
      <c r="M26" s="64"/>
      <c r="N26" s="64"/>
      <c r="T26" s="21"/>
      <c r="U26" s="64"/>
      <c r="V26" s="64"/>
      <c r="W26" s="64"/>
      <c r="X26" s="64"/>
      <c r="AC26" s="21"/>
      <c r="AD26" s="64"/>
      <c r="AE26" s="64"/>
      <c r="AF26" s="64"/>
      <c r="AG26" s="64"/>
    </row>
    <row r="27" spans="1:33" x14ac:dyDescent="0.2">
      <c r="B27" s="59" t="s">
        <v>181</v>
      </c>
      <c r="C27" s="60" t="s">
        <v>330</v>
      </c>
      <c r="D27" s="60" t="s">
        <v>331</v>
      </c>
      <c r="E27" s="60" t="s">
        <v>332</v>
      </c>
      <c r="K27" s="59" t="s">
        <v>185</v>
      </c>
      <c r="L27" s="60" t="s">
        <v>330</v>
      </c>
      <c r="M27" s="60" t="s">
        <v>331</v>
      </c>
      <c r="N27" s="60" t="s">
        <v>332</v>
      </c>
      <c r="T27" s="59" t="s">
        <v>181</v>
      </c>
      <c r="U27" s="60" t="s">
        <v>333</v>
      </c>
      <c r="V27" s="60" t="s">
        <v>334</v>
      </c>
      <c r="W27" s="60" t="s">
        <v>335</v>
      </c>
      <c r="X27" s="60" t="s">
        <v>336</v>
      </c>
      <c r="AC27" s="59" t="s">
        <v>185</v>
      </c>
      <c r="AD27" s="60" t="s">
        <v>333</v>
      </c>
      <c r="AE27" s="60" t="s">
        <v>334</v>
      </c>
      <c r="AF27" s="60" t="s">
        <v>335</v>
      </c>
      <c r="AG27" s="60" t="s">
        <v>336</v>
      </c>
    </row>
    <row r="28" spans="1:33" x14ac:dyDescent="0.2">
      <c r="B28" s="59" t="s">
        <v>200</v>
      </c>
      <c r="C28" s="55">
        <f t="shared" ref="C28:C31" si="18">U28/X28*100</f>
        <v>95.138888888888886</v>
      </c>
      <c r="D28" s="55">
        <f t="shared" ref="D28:D31" si="19">V28/X28*100</f>
        <v>4.5138888888888884</v>
      </c>
      <c r="E28" s="55">
        <f t="shared" ref="E28:E31" si="20">W28/X28*100</f>
        <v>0.34722222222222221</v>
      </c>
      <c r="K28" s="59" t="s">
        <v>200</v>
      </c>
      <c r="L28" s="55">
        <f t="shared" ref="L28:L31" si="21">AD28/AG28*100</f>
        <v>90.254237288135599</v>
      </c>
      <c r="M28" s="55">
        <f t="shared" ref="M28:M31" si="22">AE28/AG28*100</f>
        <v>9.3220338983050848</v>
      </c>
      <c r="N28" s="55">
        <f t="shared" ref="N28:N31" si="23">AF28/AG28*100</f>
        <v>0.42372881355932202</v>
      </c>
      <c r="T28" s="59" t="s">
        <v>200</v>
      </c>
      <c r="U28" s="55">
        <v>274</v>
      </c>
      <c r="V28" s="55">
        <v>13</v>
      </c>
      <c r="W28" s="55">
        <v>1</v>
      </c>
      <c r="X28" s="55">
        <v>288</v>
      </c>
      <c r="AC28" s="59" t="s">
        <v>200</v>
      </c>
      <c r="AD28" s="55">
        <v>213</v>
      </c>
      <c r="AE28" s="55">
        <v>22</v>
      </c>
      <c r="AF28" s="55">
        <v>1</v>
      </c>
      <c r="AG28" s="55">
        <v>236</v>
      </c>
    </row>
    <row r="29" spans="1:33" x14ac:dyDescent="0.2">
      <c r="B29" s="59" t="s">
        <v>201</v>
      </c>
      <c r="C29" s="55">
        <f t="shared" si="18"/>
        <v>89.082969432314414</v>
      </c>
      <c r="D29" s="55">
        <f t="shared" si="19"/>
        <v>9.1703056768558966</v>
      </c>
      <c r="E29" s="55">
        <f t="shared" si="20"/>
        <v>1.7467248908296942</v>
      </c>
      <c r="K29" s="59" t="s">
        <v>201</v>
      </c>
      <c r="L29" s="55">
        <f t="shared" si="21"/>
        <v>88.030888030888036</v>
      </c>
      <c r="M29" s="55">
        <f t="shared" si="22"/>
        <v>11.969111969111969</v>
      </c>
      <c r="N29" s="55">
        <f t="shared" si="23"/>
        <v>0</v>
      </c>
      <c r="T29" s="59" t="s">
        <v>201</v>
      </c>
      <c r="U29" s="55">
        <v>204</v>
      </c>
      <c r="V29" s="55">
        <v>21</v>
      </c>
      <c r="W29" s="55">
        <v>4</v>
      </c>
      <c r="X29" s="55">
        <v>229</v>
      </c>
      <c r="AC29" s="59" t="s">
        <v>201</v>
      </c>
      <c r="AD29" s="55">
        <v>228</v>
      </c>
      <c r="AE29" s="55">
        <v>31</v>
      </c>
      <c r="AF29" s="55">
        <v>0</v>
      </c>
      <c r="AG29" s="55">
        <v>259</v>
      </c>
    </row>
    <row r="30" spans="1:33" x14ac:dyDescent="0.2">
      <c r="B30" s="59" t="s">
        <v>202</v>
      </c>
      <c r="C30" s="55">
        <f t="shared" si="18"/>
        <v>91.015625</v>
      </c>
      <c r="D30" s="55">
        <f t="shared" si="19"/>
        <v>8.984375</v>
      </c>
      <c r="E30" s="55">
        <f t="shared" si="20"/>
        <v>0</v>
      </c>
      <c r="K30" s="59" t="s">
        <v>202</v>
      </c>
      <c r="L30" s="55">
        <f t="shared" si="21"/>
        <v>83.125</v>
      </c>
      <c r="M30" s="55">
        <f t="shared" si="22"/>
        <v>8.75</v>
      </c>
      <c r="N30" s="55">
        <f t="shared" si="23"/>
        <v>8.125</v>
      </c>
      <c r="T30" s="59" t="s">
        <v>202</v>
      </c>
      <c r="U30" s="55">
        <v>233</v>
      </c>
      <c r="V30" s="55">
        <v>23</v>
      </c>
      <c r="W30" s="55">
        <v>0</v>
      </c>
      <c r="X30" s="55">
        <v>256</v>
      </c>
      <c r="AC30" s="59" t="s">
        <v>202</v>
      </c>
      <c r="AD30" s="55">
        <v>266</v>
      </c>
      <c r="AE30" s="55">
        <v>28</v>
      </c>
      <c r="AF30" s="55">
        <v>26</v>
      </c>
      <c r="AG30" s="55">
        <v>320</v>
      </c>
    </row>
    <row r="31" spans="1:33" x14ac:dyDescent="0.2">
      <c r="B31" s="59" t="s">
        <v>337</v>
      </c>
      <c r="C31" s="55">
        <f t="shared" si="18"/>
        <v>96.618357487922708</v>
      </c>
      <c r="D31" s="55">
        <f t="shared" si="19"/>
        <v>3.3816425120772946</v>
      </c>
      <c r="E31" s="55">
        <f t="shared" si="20"/>
        <v>0</v>
      </c>
      <c r="K31" s="59" t="s">
        <v>337</v>
      </c>
      <c r="L31" s="55">
        <f t="shared" si="21"/>
        <v>87.681159420289859</v>
      </c>
      <c r="M31" s="55">
        <f t="shared" si="22"/>
        <v>10.628019323671497</v>
      </c>
      <c r="N31" s="55">
        <f t="shared" si="23"/>
        <v>1.6908212560386473</v>
      </c>
      <c r="T31" s="59" t="s">
        <v>337</v>
      </c>
      <c r="U31" s="55">
        <v>200</v>
      </c>
      <c r="V31" s="55">
        <v>7</v>
      </c>
      <c r="W31" s="55">
        <v>0</v>
      </c>
      <c r="X31" s="55">
        <v>207</v>
      </c>
      <c r="AC31" s="59" t="s">
        <v>337</v>
      </c>
      <c r="AD31" s="55">
        <v>363</v>
      </c>
      <c r="AE31" s="55">
        <v>44</v>
      </c>
      <c r="AF31" s="55">
        <v>7</v>
      </c>
      <c r="AG31" s="55">
        <v>414</v>
      </c>
    </row>
    <row r="32" spans="1:33" x14ac:dyDescent="0.2">
      <c r="B32" s="64"/>
      <c r="C32" s="65"/>
      <c r="D32" s="64"/>
      <c r="E32" s="64"/>
      <c r="K32" s="64"/>
      <c r="L32" s="65"/>
      <c r="M32" s="64"/>
      <c r="N32" s="64"/>
      <c r="T32" s="21"/>
      <c r="U32" s="64"/>
      <c r="V32" s="64"/>
      <c r="W32" s="64"/>
      <c r="X32" s="64"/>
      <c r="AC32" s="21"/>
      <c r="AD32" s="64"/>
      <c r="AE32" s="64"/>
      <c r="AF32" s="64"/>
      <c r="AG32" s="64"/>
    </row>
    <row r="34" spans="1:33" x14ac:dyDescent="0.2">
      <c r="A34" s="68" t="s">
        <v>51</v>
      </c>
      <c r="B34" s="59" t="s">
        <v>181</v>
      </c>
      <c r="C34" s="60" t="s">
        <v>330</v>
      </c>
      <c r="D34" s="60" t="s">
        <v>331</v>
      </c>
      <c r="E34" s="60" t="s">
        <v>332</v>
      </c>
      <c r="J34" s="68" t="s">
        <v>51</v>
      </c>
      <c r="K34" s="59" t="s">
        <v>185</v>
      </c>
      <c r="L34" s="60" t="s">
        <v>330</v>
      </c>
      <c r="M34" s="60" t="s">
        <v>331</v>
      </c>
      <c r="N34" s="60" t="s">
        <v>332</v>
      </c>
      <c r="S34" s="68" t="s">
        <v>338</v>
      </c>
      <c r="T34" s="59" t="s">
        <v>181</v>
      </c>
      <c r="U34" s="60" t="s">
        <v>333</v>
      </c>
      <c r="V34" s="60" t="s">
        <v>334</v>
      </c>
      <c r="W34" s="60" t="s">
        <v>335</v>
      </c>
      <c r="X34" s="60" t="s">
        <v>336</v>
      </c>
      <c r="AB34" s="68" t="s">
        <v>338</v>
      </c>
      <c r="AC34" s="59" t="s">
        <v>185</v>
      </c>
      <c r="AD34" s="60" t="s">
        <v>333</v>
      </c>
      <c r="AE34" s="60" t="s">
        <v>334</v>
      </c>
      <c r="AF34" s="60" t="s">
        <v>335</v>
      </c>
      <c r="AG34" s="60" t="s">
        <v>336</v>
      </c>
    </row>
    <row r="35" spans="1:33" x14ac:dyDescent="0.2">
      <c r="B35" s="59" t="s">
        <v>203</v>
      </c>
      <c r="C35" s="17">
        <f>AVERAGE(C11:C15)</f>
        <v>94.531811277366316</v>
      </c>
      <c r="D35" s="17">
        <f>AVERAGE(D11:D15)</f>
        <v>4.9793224572461527</v>
      </c>
      <c r="E35" s="17">
        <f>AVERAGE(E11:E15)</f>
        <v>0.48886626538752126</v>
      </c>
      <c r="K35" s="59" t="s">
        <v>203</v>
      </c>
      <c r="L35" s="17">
        <f>AVERAGE(L11:L14)</f>
        <v>91.504706859860647</v>
      </c>
      <c r="M35" s="17">
        <f t="shared" ref="M35:N35" si="24">AVERAGE(M11:M14)</f>
        <v>8.2761651571383705</v>
      </c>
      <c r="N35" s="17">
        <f t="shared" si="24"/>
        <v>0.21912798300098071</v>
      </c>
      <c r="T35" s="59" t="s">
        <v>203</v>
      </c>
      <c r="U35" s="17">
        <f>SUM(U11:U15)</f>
        <v>1336</v>
      </c>
      <c r="V35" s="17">
        <f t="shared" ref="V35:X35" si="25">SUM(V11:V15)</f>
        <v>70</v>
      </c>
      <c r="W35" s="17">
        <f t="shared" si="25"/>
        <v>8</v>
      </c>
      <c r="X35" s="17">
        <f t="shared" si="25"/>
        <v>1414</v>
      </c>
      <c r="AC35" s="59" t="s">
        <v>203</v>
      </c>
      <c r="AD35" s="17">
        <f>SUM(AD11:AD14)</f>
        <v>1361</v>
      </c>
      <c r="AE35" s="17">
        <f t="shared" ref="AE35:AG35" si="26">SUM(AE11:AE14)</f>
        <v>125</v>
      </c>
      <c r="AF35" s="17">
        <f t="shared" si="26"/>
        <v>4</v>
      </c>
      <c r="AG35" s="17">
        <f t="shared" si="26"/>
        <v>1490</v>
      </c>
    </row>
    <row r="36" spans="1:33" x14ac:dyDescent="0.2">
      <c r="B36" s="59" t="s">
        <v>2</v>
      </c>
      <c r="C36" s="17">
        <f>AVERAGE(C18:C20)</f>
        <v>92.901373711783961</v>
      </c>
      <c r="D36" s="17">
        <f>AVERAGE(D18:D20)</f>
        <v>6.1499647025206317</v>
      </c>
      <c r="E36" s="17">
        <f>AVERAGE(E18:E20)</f>
        <v>0.94866158569540504</v>
      </c>
      <c r="K36" s="59" t="s">
        <v>2</v>
      </c>
      <c r="L36" s="17">
        <f>AVERAGE(L18:L20)</f>
        <v>95.185632855353319</v>
      </c>
      <c r="M36" s="17">
        <f>AVERAGE(M18:M20)</f>
        <v>4.6792154531447787</v>
      </c>
      <c r="N36" s="17">
        <f>AVERAGE(N18:N20)</f>
        <v>0.13515169150190667</v>
      </c>
      <c r="T36" s="59" t="s">
        <v>2</v>
      </c>
      <c r="U36" s="17">
        <f>SUM(U18:U20)</f>
        <v>916</v>
      </c>
      <c r="V36" s="17">
        <f t="shared" ref="V36:W36" si="27">SUM(V18:V20)</f>
        <v>53</v>
      </c>
      <c r="W36" s="17">
        <f t="shared" si="27"/>
        <v>9</v>
      </c>
      <c r="X36" s="17">
        <f>SUM(X18:X20)</f>
        <v>978</v>
      </c>
      <c r="AC36" s="59" t="s">
        <v>2</v>
      </c>
      <c r="AD36" s="17">
        <f>SUM(AD18:AD20)</f>
        <v>1241</v>
      </c>
      <c r="AE36" s="17">
        <f t="shared" ref="AE36:AF36" si="28">SUM(AE18:AE20)</f>
        <v>63</v>
      </c>
      <c r="AF36" s="17">
        <f t="shared" si="28"/>
        <v>2</v>
      </c>
      <c r="AG36" s="17">
        <f>SUM(AG18:AG20)</f>
        <v>1306</v>
      </c>
    </row>
    <row r="37" spans="1:33" x14ac:dyDescent="0.2">
      <c r="B37" s="59" t="s">
        <v>3</v>
      </c>
      <c r="C37" s="17">
        <f>AVERAGE(C23:C25)</f>
        <v>90.062830329003646</v>
      </c>
      <c r="D37" s="17">
        <f>AVERAGE(D23:D25)</f>
        <v>9.624180625612949</v>
      </c>
      <c r="E37" s="17">
        <f>AVERAGE(E23:E25)</f>
        <v>0.3129890453834116</v>
      </c>
      <c r="K37" s="59" t="s">
        <v>3</v>
      </c>
      <c r="L37" s="17">
        <f>AVERAGE(L23:L25)</f>
        <v>88.283799007204991</v>
      </c>
      <c r="M37" s="17">
        <f>AVERAGE(M23:M25)</f>
        <v>10.71417383551411</v>
      </c>
      <c r="N37" s="17">
        <f>AVERAGE(N23:N25)</f>
        <v>1.0020271572808983</v>
      </c>
      <c r="T37" s="59" t="s">
        <v>3</v>
      </c>
      <c r="U37" s="17">
        <f>SUM(U23:U25)</f>
        <v>612</v>
      </c>
      <c r="V37" s="17">
        <f t="shared" ref="V37:X37" si="29">SUM(V23:V25)</f>
        <v>66</v>
      </c>
      <c r="W37" s="17">
        <f t="shared" si="29"/>
        <v>2</v>
      </c>
      <c r="X37" s="17">
        <f t="shared" si="29"/>
        <v>680</v>
      </c>
      <c r="AC37" s="59" t="s">
        <v>3</v>
      </c>
      <c r="AD37" s="17">
        <f>SUM(AD23:AD25)</f>
        <v>796</v>
      </c>
      <c r="AE37" s="17">
        <f t="shared" ref="AE37:AG37" si="30">SUM(AE23:AE25)</f>
        <v>96</v>
      </c>
      <c r="AF37" s="17">
        <f t="shared" si="30"/>
        <v>9</v>
      </c>
      <c r="AG37" s="17">
        <f t="shared" si="30"/>
        <v>901</v>
      </c>
    </row>
    <row r="38" spans="1:33" x14ac:dyDescent="0.2">
      <c r="B38" s="59" t="s">
        <v>4</v>
      </c>
      <c r="C38" s="17">
        <f>AVERAGE(C28:C31)</f>
        <v>92.963960202281498</v>
      </c>
      <c r="D38" s="17">
        <f t="shared" ref="D38:E38" si="31">AVERAGE(D28:D31)</f>
        <v>6.5125530194555203</v>
      </c>
      <c r="E38" s="17">
        <f t="shared" si="31"/>
        <v>0.52348677826297907</v>
      </c>
      <c r="K38" s="59" t="s">
        <v>4</v>
      </c>
      <c r="L38" s="17">
        <f>AVERAGE(L28:L31)</f>
        <v>87.272821184828373</v>
      </c>
      <c r="M38" s="17">
        <f>AVERAGE(M28:M31)</f>
        <v>10.167291297772138</v>
      </c>
      <c r="N38" s="17">
        <f>AVERAGE(N28:N31)</f>
        <v>2.5598875173994924</v>
      </c>
      <c r="T38" s="59" t="s">
        <v>4</v>
      </c>
      <c r="U38" s="17">
        <f>SUM(U28:U31)</f>
        <v>911</v>
      </c>
      <c r="V38" s="17">
        <f t="shared" ref="V38:X38" si="32">SUM(V28:V31)</f>
        <v>64</v>
      </c>
      <c r="W38" s="17">
        <f t="shared" si="32"/>
        <v>5</v>
      </c>
      <c r="X38" s="17">
        <f t="shared" si="32"/>
        <v>980</v>
      </c>
      <c r="AC38" s="59" t="s">
        <v>4</v>
      </c>
      <c r="AD38" s="17">
        <f>SUM(AD28:AD31)</f>
        <v>1070</v>
      </c>
      <c r="AE38" s="17">
        <f t="shared" ref="AE38:AF38" si="33">SUM(AE28:AE31)</f>
        <v>125</v>
      </c>
      <c r="AF38" s="17">
        <f t="shared" si="33"/>
        <v>34</v>
      </c>
      <c r="AG38" s="17">
        <f>SUM(AG28:AG31)</f>
        <v>1229</v>
      </c>
    </row>
    <row r="40" spans="1:33" x14ac:dyDescent="0.2">
      <c r="A40" s="68" t="s">
        <v>13</v>
      </c>
      <c r="B40" s="59" t="s">
        <v>181</v>
      </c>
      <c r="C40" s="60" t="s">
        <v>330</v>
      </c>
      <c r="D40" s="60" t="s">
        <v>331</v>
      </c>
      <c r="E40" s="60" t="s">
        <v>332</v>
      </c>
      <c r="J40" s="68" t="s">
        <v>13</v>
      </c>
      <c r="K40" s="59" t="s">
        <v>185</v>
      </c>
      <c r="L40" s="60" t="s">
        <v>330</v>
      </c>
      <c r="M40" s="60" t="s">
        <v>331</v>
      </c>
      <c r="N40" s="60" t="s">
        <v>332</v>
      </c>
    </row>
    <row r="41" spans="1:33" x14ac:dyDescent="0.2">
      <c r="B41" s="59" t="s">
        <v>1</v>
      </c>
      <c r="C41" s="17">
        <f>STDEV(C11:C15)</f>
        <v>3.215179034649382</v>
      </c>
      <c r="D41" s="17">
        <f>STDEV(D11:D15)</f>
        <v>2.9302650835496671</v>
      </c>
      <c r="E41" s="17">
        <f>STDEV(E11:E15)</f>
        <v>0.74098514923332348</v>
      </c>
      <c r="K41" s="59" t="s">
        <v>1</v>
      </c>
      <c r="L41" s="17">
        <f>STDEV(L11:L14)</f>
        <v>0.83086760360431988</v>
      </c>
      <c r="M41" s="17">
        <f t="shared" ref="M41:N41" si="34">STDEV(M11:M14)</f>
        <v>0.78660951300248527</v>
      </c>
      <c r="N41" s="17">
        <f t="shared" si="34"/>
        <v>0.15860764347323628</v>
      </c>
      <c r="T41" s="21"/>
      <c r="U41" s="110"/>
      <c r="V41" s="110"/>
      <c r="W41" s="110"/>
      <c r="X41" s="110"/>
      <c r="Y41" s="78"/>
      <c r="Z41" s="78"/>
      <c r="AA41" s="78"/>
      <c r="AB41" s="78"/>
      <c r="AC41" s="21"/>
      <c r="AD41" s="110"/>
      <c r="AE41" s="110"/>
      <c r="AF41" s="110"/>
      <c r="AG41" s="110"/>
    </row>
    <row r="42" spans="1:33" x14ac:dyDescent="0.2">
      <c r="B42" s="59" t="s">
        <v>2</v>
      </c>
      <c r="C42" s="17">
        <f>STDEV(C18:C20)</f>
        <v>2.9032960467941518</v>
      </c>
      <c r="D42" s="17">
        <f>STDEV(D18:D20)</f>
        <v>2.7442979526449562</v>
      </c>
      <c r="E42" s="17">
        <f>STDEV(E18:E20)</f>
        <v>0.22196834654470834</v>
      </c>
      <c r="K42" s="59" t="s">
        <v>2</v>
      </c>
      <c r="L42" s="17">
        <f>STDEV(L18:L20)</f>
        <v>2.653556938594166</v>
      </c>
      <c r="M42" s="17">
        <f>STDEV(M18:M20)</f>
        <v>2.5293629617434554</v>
      </c>
      <c r="N42" s="17">
        <f>STDEV(N18:N20)</f>
        <v>0.12849646294081132</v>
      </c>
      <c r="T42" s="63"/>
      <c r="U42" s="64"/>
      <c r="V42" s="64"/>
      <c r="W42" s="64"/>
      <c r="X42" s="64"/>
      <c r="Y42" s="78"/>
      <c r="Z42" s="78"/>
      <c r="AA42" s="78"/>
      <c r="AB42" s="78"/>
      <c r="AC42" s="63"/>
      <c r="AD42" s="64"/>
      <c r="AE42" s="64"/>
      <c r="AF42" s="64"/>
      <c r="AG42" s="64"/>
    </row>
    <row r="43" spans="1:33" x14ac:dyDescent="0.2">
      <c r="B43" s="59" t="s">
        <v>3</v>
      </c>
      <c r="C43" s="17">
        <f>STDEV(C23:C25)</f>
        <v>1.7735524155745055</v>
      </c>
      <c r="D43" s="17">
        <f>STDEV(D23:D25)</f>
        <v>2.2969428469703312</v>
      </c>
      <c r="E43" s="17">
        <f>STDEV(E23:E25)</f>
        <v>0.54211292881654993</v>
      </c>
      <c r="K43" s="59" t="s">
        <v>3</v>
      </c>
      <c r="L43" s="17">
        <f>STDEV(L23:L25)</f>
        <v>1.7682088722504001</v>
      </c>
      <c r="M43" s="17">
        <f>STDEV(M23:M25)</f>
        <v>1.21932697126459</v>
      </c>
      <c r="N43" s="17">
        <f>STDEV(N23:N25)</f>
        <v>0.59496108169788753</v>
      </c>
      <c r="T43" s="63"/>
      <c r="U43" s="64"/>
      <c r="V43" s="64"/>
      <c r="W43" s="64"/>
      <c r="X43" s="64"/>
      <c r="Y43" s="78"/>
      <c r="Z43" s="78"/>
      <c r="AA43" s="78"/>
      <c r="AB43" s="78"/>
      <c r="AC43" s="63"/>
      <c r="AD43" s="64"/>
      <c r="AE43" s="64"/>
      <c r="AF43" s="64"/>
      <c r="AG43" s="64"/>
    </row>
    <row r="44" spans="1:33" x14ac:dyDescent="0.2">
      <c r="B44" s="59" t="s">
        <v>4</v>
      </c>
      <c r="C44" s="17">
        <f>STDEV(C28:C31)</f>
        <v>3.5091800433600135</v>
      </c>
      <c r="D44" s="17">
        <f t="shared" ref="D44:E44" si="35">STDEV(D28:D31)</f>
        <v>2.9983780061585872</v>
      </c>
      <c r="E44" s="17">
        <f t="shared" si="35"/>
        <v>0.83175667270829712</v>
      </c>
      <c r="K44" s="59" t="s">
        <v>4</v>
      </c>
      <c r="L44" s="17">
        <f>STDEV(L28:L31)</f>
        <v>2.9908007857431391</v>
      </c>
      <c r="M44" s="17">
        <f t="shared" ref="M44:N44" si="36">STDEV(M28:M31)</f>
        <v>1.4355025530699519</v>
      </c>
      <c r="N44" s="17">
        <f t="shared" si="36"/>
        <v>3.7789747825021514</v>
      </c>
      <c r="T44" s="63"/>
      <c r="U44" s="64"/>
      <c r="V44" s="64"/>
      <c r="W44" s="64"/>
      <c r="X44" s="64"/>
      <c r="Y44" s="78"/>
      <c r="Z44" s="78"/>
      <c r="AA44" s="78"/>
      <c r="AB44" s="78"/>
      <c r="AC44" s="63"/>
      <c r="AD44" s="64"/>
      <c r="AE44" s="64"/>
      <c r="AF44" s="64"/>
      <c r="AG44" s="64"/>
    </row>
    <row r="45" spans="1:33" x14ac:dyDescent="0.2">
      <c r="T45" s="63"/>
      <c r="U45" s="64"/>
      <c r="V45" s="64"/>
      <c r="W45" s="64"/>
      <c r="X45" s="64"/>
      <c r="Y45" s="78"/>
      <c r="Z45" s="78"/>
      <c r="AA45" s="78"/>
      <c r="AB45" s="78"/>
      <c r="AC45" s="63"/>
      <c r="AD45" s="64"/>
      <c r="AE45" s="64"/>
      <c r="AF45" s="64"/>
      <c r="AG45" s="64"/>
    </row>
    <row r="46" spans="1:33" x14ac:dyDescent="0.2">
      <c r="A46" s="68" t="s">
        <v>14</v>
      </c>
      <c r="B46" s="59" t="s">
        <v>181</v>
      </c>
      <c r="C46" s="60" t="s">
        <v>330</v>
      </c>
      <c r="D46" s="60" t="s">
        <v>331</v>
      </c>
      <c r="E46" s="60" t="s">
        <v>332</v>
      </c>
      <c r="J46" s="68" t="s">
        <v>14</v>
      </c>
      <c r="K46" s="59" t="s">
        <v>185</v>
      </c>
      <c r="L46" s="60" t="s">
        <v>330</v>
      </c>
      <c r="M46" s="60" t="s">
        <v>331</v>
      </c>
      <c r="N46" s="60" t="s">
        <v>332</v>
      </c>
      <c r="T46" s="63"/>
      <c r="U46" s="64"/>
      <c r="V46" s="64"/>
      <c r="W46" s="64"/>
      <c r="X46" s="64"/>
      <c r="Y46" s="78"/>
      <c r="Z46" s="78"/>
      <c r="AA46" s="78"/>
      <c r="AB46" s="78"/>
      <c r="AC46" s="63"/>
      <c r="AD46" s="64"/>
      <c r="AE46" s="64"/>
      <c r="AF46" s="64"/>
      <c r="AG46" s="64"/>
    </row>
    <row r="47" spans="1:33" x14ac:dyDescent="0.2">
      <c r="B47" s="59" t="s">
        <v>1</v>
      </c>
      <c r="C47" s="70">
        <f>C41/(5^0.5)</f>
        <v>1.437871776261634</v>
      </c>
      <c r="D47" s="70">
        <f t="shared" ref="D47:E47" si="37">D41/(5^0.5)</f>
        <v>1.3104543837822311</v>
      </c>
      <c r="E47" s="70">
        <f t="shared" si="37"/>
        <v>0.33137863280070751</v>
      </c>
      <c r="K47" s="59" t="s">
        <v>1</v>
      </c>
      <c r="L47" s="70">
        <f>L41/(4^0.5)</f>
        <v>0.41543380180215994</v>
      </c>
      <c r="M47" s="70">
        <f t="shared" ref="M47:N47" si="38">M41/(4^0.5)</f>
        <v>0.39330475650124264</v>
      </c>
      <c r="N47" s="70">
        <f t="shared" si="38"/>
        <v>7.9303821736618138E-2</v>
      </c>
      <c r="T47" s="64"/>
      <c r="U47" s="64"/>
      <c r="V47" s="64"/>
      <c r="W47" s="64"/>
      <c r="X47" s="64"/>
      <c r="Y47" s="78"/>
      <c r="Z47" s="78"/>
      <c r="AA47" s="78"/>
      <c r="AB47" s="78"/>
      <c r="AC47" s="64"/>
      <c r="AD47" s="64"/>
      <c r="AE47" s="64"/>
      <c r="AF47" s="64"/>
      <c r="AG47" s="64"/>
    </row>
    <row r="48" spans="1:33" x14ac:dyDescent="0.2">
      <c r="B48" s="59" t="s">
        <v>2</v>
      </c>
      <c r="C48" s="70">
        <f>C42/(3^0.5)</f>
        <v>1.6762187541537799</v>
      </c>
      <c r="D48" s="70">
        <f t="shared" ref="D48:E49" si="39">D42/(3^0.5)</f>
        <v>1.5844211616961044</v>
      </c>
      <c r="E48" s="70">
        <f t="shared" si="39"/>
        <v>0.12815348462916351</v>
      </c>
      <c r="K48" s="59" t="s">
        <v>2</v>
      </c>
      <c r="L48" s="70">
        <f>L42/(3^0.5)</f>
        <v>1.5320318128073411</v>
      </c>
      <c r="M48" s="70">
        <f t="shared" ref="M48:N49" si="40">M42/(3^0.5)</f>
        <v>1.4603283868408532</v>
      </c>
      <c r="N48" s="70">
        <f>N42/(3^0.5)</f>
        <v>7.4187467468792193E-2</v>
      </c>
      <c r="T48" s="21"/>
      <c r="U48" s="64"/>
      <c r="V48" s="64"/>
      <c r="W48" s="64"/>
      <c r="X48" s="64"/>
      <c r="Y48" s="78"/>
      <c r="Z48" s="78"/>
      <c r="AA48" s="78"/>
      <c r="AB48" s="78"/>
      <c r="AC48" s="21"/>
      <c r="AD48" s="64"/>
      <c r="AE48" s="64"/>
      <c r="AF48" s="64"/>
      <c r="AG48" s="64"/>
    </row>
    <row r="49" spans="1:38" x14ac:dyDescent="0.2">
      <c r="B49" s="59" t="s">
        <v>3</v>
      </c>
      <c r="C49" s="70">
        <f>C43/(3^0.5)</f>
        <v>1.0239609645538519</v>
      </c>
      <c r="D49" s="70">
        <f t="shared" si="39"/>
        <v>1.3261405710115062</v>
      </c>
      <c r="E49" s="70">
        <f t="shared" si="39"/>
        <v>0.31298904538341155</v>
      </c>
      <c r="K49" s="59" t="s">
        <v>3</v>
      </c>
      <c r="L49" s="70">
        <f>L43/(3^0.5)</f>
        <v>1.0208758683772532</v>
      </c>
      <c r="M49" s="70">
        <f t="shared" si="40"/>
        <v>0.70397875508978214</v>
      </c>
      <c r="N49" s="70">
        <f t="shared" si="40"/>
        <v>0.34350094067562631</v>
      </c>
      <c r="T49" s="21"/>
      <c r="U49" s="64"/>
      <c r="V49" s="64"/>
      <c r="W49" s="64"/>
      <c r="X49" s="64"/>
      <c r="Y49" s="78"/>
      <c r="Z49" s="78"/>
      <c r="AA49" s="78"/>
      <c r="AB49" s="78"/>
      <c r="AC49" s="21"/>
      <c r="AD49" s="64"/>
      <c r="AE49" s="64"/>
      <c r="AF49" s="64"/>
      <c r="AG49" s="64"/>
    </row>
    <row r="50" spans="1:38" x14ac:dyDescent="0.2">
      <c r="B50" s="59" t="s">
        <v>4</v>
      </c>
      <c r="C50" s="70">
        <f>C44/(4^0.5)</f>
        <v>1.7545900216800068</v>
      </c>
      <c r="D50" s="70">
        <f t="shared" ref="D50:E50" si="41">D44/(4^0.5)</f>
        <v>1.4991890030792936</v>
      </c>
      <c r="E50" s="70">
        <f t="shared" si="41"/>
        <v>0.41587833635414856</v>
      </c>
      <c r="K50" s="59" t="s">
        <v>4</v>
      </c>
      <c r="L50" s="70">
        <f>L44/(4^0.5)</f>
        <v>1.4954003928715696</v>
      </c>
      <c r="M50" s="70">
        <f t="shared" ref="M50:N50" si="42">M44/(4^0.5)</f>
        <v>0.71775127653497595</v>
      </c>
      <c r="N50" s="70">
        <f t="shared" si="42"/>
        <v>1.8894873912510757</v>
      </c>
      <c r="T50" s="21"/>
      <c r="U50" s="64"/>
      <c r="V50" s="64"/>
      <c r="W50" s="64"/>
      <c r="X50" s="64"/>
      <c r="Y50" s="78"/>
      <c r="Z50" s="78"/>
      <c r="AA50" s="78"/>
      <c r="AB50" s="78"/>
      <c r="AC50" s="21"/>
      <c r="AD50" s="64"/>
      <c r="AE50" s="64"/>
      <c r="AF50" s="64"/>
      <c r="AG50" s="64"/>
    </row>
    <row r="51" spans="1:38" x14ac:dyDescent="0.2">
      <c r="B51" s="9"/>
      <c r="C51" s="9"/>
      <c r="D51" s="9"/>
      <c r="E51" s="9"/>
      <c r="K51" s="9"/>
      <c r="L51" s="9"/>
      <c r="M51" s="9"/>
      <c r="N51" s="9"/>
      <c r="T51" s="68"/>
      <c r="U51" s="68"/>
      <c r="V51" s="68"/>
      <c r="W51" s="68"/>
      <c r="X51" s="68"/>
      <c r="Y51" s="78"/>
      <c r="Z51" s="78"/>
      <c r="AA51" s="78"/>
      <c r="AB51" s="78"/>
      <c r="AC51" s="68"/>
      <c r="AD51" s="68"/>
      <c r="AE51" s="68"/>
      <c r="AF51" s="68"/>
      <c r="AG51" s="68"/>
    </row>
    <row r="52" spans="1:38" x14ac:dyDescent="0.2">
      <c r="A52" s="9" t="s">
        <v>206</v>
      </c>
      <c r="B52" s="59" t="s">
        <v>181</v>
      </c>
      <c r="C52" s="60" t="s">
        <v>330</v>
      </c>
      <c r="D52" s="60" t="s">
        <v>331</v>
      </c>
      <c r="E52" s="60" t="s">
        <v>332</v>
      </c>
      <c r="J52" s="9" t="s">
        <v>206</v>
      </c>
      <c r="K52" s="59" t="s">
        <v>185</v>
      </c>
      <c r="L52" s="60" t="s">
        <v>330</v>
      </c>
      <c r="M52" s="60" t="s">
        <v>331</v>
      </c>
      <c r="N52" s="60" t="s">
        <v>332</v>
      </c>
      <c r="T52" s="21"/>
      <c r="U52" s="64"/>
      <c r="V52" s="64"/>
      <c r="W52" s="64"/>
      <c r="X52" s="64"/>
      <c r="Y52" s="78"/>
      <c r="Z52" s="78"/>
      <c r="AA52" s="78"/>
      <c r="AB52" s="78"/>
      <c r="AC52" s="21"/>
      <c r="AD52" s="64"/>
      <c r="AE52" s="64"/>
      <c r="AF52" s="64"/>
      <c r="AG52" s="64"/>
    </row>
    <row r="53" spans="1:38" x14ac:dyDescent="0.2">
      <c r="B53" s="59" t="s">
        <v>6</v>
      </c>
      <c r="C53" s="111">
        <v>0.82099999999999995</v>
      </c>
      <c r="D53" s="74">
        <v>0.90259999999999996</v>
      </c>
      <c r="E53" s="72">
        <v>0.7</v>
      </c>
      <c r="K53" s="59" t="s">
        <v>6</v>
      </c>
      <c r="L53" s="74">
        <v>0.13239999999999999</v>
      </c>
      <c r="M53" s="74">
        <v>3.1699999999999999E-2</v>
      </c>
      <c r="N53" s="111" t="s">
        <v>339</v>
      </c>
      <c r="T53" s="21"/>
      <c r="U53" s="64"/>
      <c r="V53" s="64"/>
      <c r="W53" s="64"/>
      <c r="X53" s="64"/>
      <c r="Y53" s="78"/>
      <c r="Z53" s="78"/>
      <c r="AA53" s="78"/>
      <c r="AB53" s="78"/>
      <c r="AC53" s="21"/>
      <c r="AD53" s="64"/>
      <c r="AE53" s="64"/>
      <c r="AF53" s="64"/>
      <c r="AG53" s="64"/>
    </row>
    <row r="54" spans="1:38" x14ac:dyDescent="0.2">
      <c r="B54" s="59" t="s">
        <v>7</v>
      </c>
      <c r="C54" s="72">
        <v>0.16900000000000001</v>
      </c>
      <c r="D54" s="74">
        <v>0.1128</v>
      </c>
      <c r="E54" s="73">
        <v>0.97270000000000001</v>
      </c>
      <c r="K54" s="59" t="s">
        <v>7</v>
      </c>
      <c r="L54" s="72">
        <v>0.20250000000000001</v>
      </c>
      <c r="M54" s="74">
        <v>0.15670000000000001</v>
      </c>
      <c r="N54" s="73">
        <v>0.93069999999999997</v>
      </c>
      <c r="S54" s="112"/>
      <c r="T54" s="21"/>
      <c r="U54" s="64"/>
      <c r="V54" s="64"/>
      <c r="W54" s="64"/>
      <c r="X54" s="64"/>
      <c r="Y54" s="78"/>
      <c r="Z54" s="78"/>
      <c r="AA54" s="78"/>
      <c r="AB54" s="78"/>
      <c r="AC54" s="21"/>
      <c r="AD54" s="64"/>
      <c r="AE54" s="64"/>
      <c r="AF54" s="64"/>
      <c r="AG54" s="64"/>
    </row>
    <row r="55" spans="1:38" x14ac:dyDescent="0.2">
      <c r="B55" s="59" t="s">
        <v>8</v>
      </c>
      <c r="C55" s="72">
        <v>0.80120000000000002</v>
      </c>
      <c r="D55" s="74">
        <v>0.77559999999999996</v>
      </c>
      <c r="E55" s="72">
        <v>0.99960000000000004</v>
      </c>
      <c r="F55" s="86"/>
      <c r="G55" s="86"/>
      <c r="H55" s="113"/>
      <c r="K55" s="59" t="s">
        <v>8</v>
      </c>
      <c r="L55" s="72">
        <v>5.6399999999999999E-2</v>
      </c>
      <c r="M55" s="74">
        <v>0.25979999999999998</v>
      </c>
      <c r="N55" s="72">
        <v>0.32179999999999997</v>
      </c>
      <c r="S55" s="114"/>
      <c r="T55" s="68"/>
      <c r="U55" s="68"/>
      <c r="V55" s="68"/>
      <c r="W55" s="68"/>
      <c r="X55" s="68"/>
      <c r="Y55" s="78"/>
      <c r="Z55" s="78"/>
      <c r="AA55" s="78"/>
      <c r="AB55" s="78"/>
      <c r="AC55" s="68"/>
      <c r="AD55" s="68"/>
      <c r="AE55" s="68"/>
      <c r="AF55" s="68"/>
      <c r="AG55" s="68"/>
    </row>
    <row r="56" spans="1:38" x14ac:dyDescent="0.2">
      <c r="B56" s="9"/>
      <c r="C56" s="9"/>
      <c r="D56" s="9"/>
      <c r="E56" s="9"/>
      <c r="F56" s="86"/>
      <c r="G56" s="86"/>
      <c r="H56" s="86"/>
      <c r="K56" s="9"/>
      <c r="L56" s="9"/>
      <c r="M56" s="9"/>
      <c r="N56" s="9"/>
      <c r="S56" s="112"/>
      <c r="T56" s="21"/>
      <c r="U56" s="64"/>
      <c r="V56" s="64"/>
      <c r="W56" s="64"/>
      <c r="X56" s="64"/>
      <c r="Y56" s="78"/>
      <c r="Z56" s="78"/>
      <c r="AA56" s="78"/>
      <c r="AB56" s="78"/>
      <c r="AC56" s="21"/>
      <c r="AD56" s="64"/>
      <c r="AE56" s="64"/>
      <c r="AF56" s="64"/>
      <c r="AG56" s="64"/>
    </row>
    <row r="57" spans="1:38" x14ac:dyDescent="0.2">
      <c r="B57" s="9"/>
      <c r="C57" s="9"/>
      <c r="D57" s="9"/>
      <c r="E57" s="9"/>
      <c r="F57" s="86"/>
      <c r="G57" s="86"/>
      <c r="H57" s="86"/>
      <c r="K57" s="9"/>
      <c r="L57" s="9"/>
      <c r="M57" s="9"/>
      <c r="N57" s="9"/>
      <c r="S57" s="66"/>
      <c r="T57" s="21"/>
      <c r="U57" s="64"/>
      <c r="V57" s="64"/>
      <c r="W57" s="64"/>
      <c r="X57" s="64"/>
      <c r="Y57" s="78"/>
      <c r="Z57" s="78"/>
      <c r="AA57" s="78"/>
      <c r="AB57" s="78"/>
      <c r="AC57" s="21"/>
      <c r="AD57" s="64"/>
      <c r="AE57" s="64"/>
      <c r="AF57" s="64"/>
      <c r="AG57" s="64"/>
    </row>
    <row r="58" spans="1:38" ht="18" x14ac:dyDescent="0.2">
      <c r="A58" s="19" t="s">
        <v>52</v>
      </c>
      <c r="B58" s="20"/>
      <c r="C58" s="20"/>
      <c r="D58" s="20"/>
      <c r="E58" s="20"/>
      <c r="F58" s="86"/>
      <c r="G58" s="86"/>
      <c r="H58" s="86"/>
      <c r="J58" s="19" t="s">
        <v>52</v>
      </c>
      <c r="K58" s="20"/>
      <c r="L58" s="20"/>
      <c r="M58" s="20"/>
      <c r="N58" s="20"/>
      <c r="S58" s="78"/>
      <c r="T58" s="21"/>
      <c r="U58" s="64"/>
      <c r="V58" s="64"/>
      <c r="W58" s="64"/>
      <c r="X58" s="64"/>
      <c r="Y58" s="78"/>
      <c r="Z58" s="78"/>
      <c r="AA58" s="78"/>
      <c r="AB58" s="78"/>
      <c r="AC58" s="21"/>
      <c r="AD58" s="64"/>
      <c r="AE58" s="64"/>
      <c r="AF58" s="64"/>
      <c r="AG58" s="64"/>
      <c r="AH58" s="78"/>
      <c r="AI58" s="78"/>
      <c r="AJ58" s="78"/>
      <c r="AK58" s="78"/>
      <c r="AL58" s="78"/>
    </row>
    <row r="59" spans="1:38" x14ac:dyDescent="0.2">
      <c r="S59" s="78"/>
      <c r="T59" s="21"/>
      <c r="U59" s="64"/>
      <c r="V59" s="64"/>
      <c r="W59" s="64"/>
      <c r="X59" s="64"/>
      <c r="Y59" s="78"/>
      <c r="Z59" s="78"/>
      <c r="AA59" s="78"/>
      <c r="AB59" s="78"/>
      <c r="AC59" s="21"/>
      <c r="AD59" s="64"/>
      <c r="AE59" s="64"/>
      <c r="AF59" s="64"/>
      <c r="AG59" s="64"/>
      <c r="AH59" s="78"/>
      <c r="AI59" s="78"/>
      <c r="AJ59" s="78"/>
      <c r="AK59" s="78"/>
      <c r="AL59" s="78"/>
    </row>
    <row r="60" spans="1:38" x14ac:dyDescent="0.2">
      <c r="A60" s="52" t="s">
        <v>340</v>
      </c>
      <c r="B60" s="15" t="s">
        <v>53</v>
      </c>
      <c r="C60" s="1"/>
      <c r="J60" s="52" t="s">
        <v>341</v>
      </c>
      <c r="K60" s="15" t="s">
        <v>53</v>
      </c>
      <c r="L60" s="1"/>
      <c r="S60" s="78"/>
      <c r="T60" s="78"/>
      <c r="U60" s="78"/>
      <c r="V60" s="78"/>
      <c r="W60" s="78"/>
      <c r="X60" s="78"/>
      <c r="Y60" s="78"/>
      <c r="Z60" s="78"/>
      <c r="AA60" s="78"/>
      <c r="AB60" s="78"/>
      <c r="AC60" s="78"/>
      <c r="AD60" s="78"/>
      <c r="AE60" s="78"/>
      <c r="AF60" s="78"/>
      <c r="AG60" s="78"/>
      <c r="AH60" s="78"/>
      <c r="AI60" s="78"/>
      <c r="AJ60" s="78"/>
      <c r="AK60" s="78"/>
      <c r="AL60" s="78"/>
    </row>
    <row r="61" spans="1:38" x14ac:dyDescent="0.2">
      <c r="B61" s="2" t="s">
        <v>0</v>
      </c>
      <c r="E61" s="1">
        <v>1.355</v>
      </c>
      <c r="K61" s="2" t="s">
        <v>0</v>
      </c>
      <c r="N61" s="1">
        <v>8.5570000000000004</v>
      </c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78"/>
      <c r="AH61" s="78"/>
      <c r="AI61" s="78"/>
      <c r="AJ61" s="78"/>
      <c r="AK61" s="78"/>
      <c r="AL61" s="78"/>
    </row>
    <row r="62" spans="1:38" x14ac:dyDescent="0.2">
      <c r="B62" s="2" t="s">
        <v>36</v>
      </c>
      <c r="E62" s="1">
        <v>0.30730000000000002</v>
      </c>
      <c r="K62" s="2" t="s">
        <v>36</v>
      </c>
      <c r="N62" s="1">
        <v>4.1000000000000003E-3</v>
      </c>
      <c r="S62" s="78"/>
      <c r="T62" s="21"/>
      <c r="U62" s="68"/>
      <c r="V62" s="68"/>
      <c r="W62" s="68"/>
      <c r="X62" s="68"/>
      <c r="Y62" s="78"/>
      <c r="Z62" s="78"/>
      <c r="AA62" s="78"/>
      <c r="AB62" s="78"/>
      <c r="AC62" s="21"/>
      <c r="AD62" s="68"/>
      <c r="AE62" s="68"/>
      <c r="AF62" s="68"/>
      <c r="AG62" s="68"/>
      <c r="AH62" s="78"/>
      <c r="AI62" s="78"/>
      <c r="AJ62" s="78"/>
      <c r="AK62" s="78"/>
      <c r="AL62" s="78"/>
    </row>
    <row r="63" spans="1:38" x14ac:dyDescent="0.2">
      <c r="B63" s="2" t="s">
        <v>37</v>
      </c>
      <c r="E63" s="46" t="s">
        <v>9</v>
      </c>
      <c r="K63" s="2" t="s">
        <v>37</v>
      </c>
      <c r="N63" s="46" t="s">
        <v>11</v>
      </c>
      <c r="S63" s="78"/>
      <c r="T63" s="21"/>
      <c r="U63" s="68"/>
      <c r="V63" s="68"/>
      <c r="W63" s="68"/>
      <c r="X63" s="68"/>
      <c r="Y63" s="78"/>
      <c r="Z63" s="78"/>
      <c r="AA63" s="78"/>
      <c r="AB63" s="78"/>
      <c r="AC63" s="21"/>
      <c r="AD63" s="68"/>
      <c r="AE63" s="68"/>
      <c r="AF63" s="68"/>
      <c r="AG63" s="68"/>
      <c r="AH63" s="78"/>
      <c r="AI63" s="78"/>
      <c r="AJ63" s="78"/>
      <c r="AK63" s="78"/>
      <c r="AL63" s="78"/>
    </row>
    <row r="64" spans="1:38" x14ac:dyDescent="0.2">
      <c r="B64" s="2" t="s">
        <v>54</v>
      </c>
      <c r="E64" s="46" t="s">
        <v>49</v>
      </c>
      <c r="K64" s="2" t="s">
        <v>54</v>
      </c>
      <c r="N64" s="46" t="s">
        <v>41</v>
      </c>
      <c r="S64" s="78"/>
      <c r="T64" s="21"/>
      <c r="U64" s="68"/>
      <c r="V64" s="68"/>
      <c r="W64" s="68"/>
      <c r="X64" s="68"/>
      <c r="Y64" s="78"/>
      <c r="Z64" s="78"/>
      <c r="AA64" s="78"/>
      <c r="AB64" s="78"/>
      <c r="AC64" s="21"/>
      <c r="AD64" s="68"/>
      <c r="AE64" s="68"/>
      <c r="AF64" s="68"/>
      <c r="AG64" s="68"/>
      <c r="AH64" s="78"/>
      <c r="AI64" s="78"/>
      <c r="AJ64" s="78"/>
      <c r="AK64" s="78"/>
      <c r="AL64" s="78"/>
    </row>
    <row r="65" spans="1:38" x14ac:dyDescent="0.2">
      <c r="B65" s="2" t="s">
        <v>55</v>
      </c>
      <c r="E65" s="1">
        <v>0.26979999999999998</v>
      </c>
      <c r="K65" s="2" t="s">
        <v>55</v>
      </c>
      <c r="N65" s="1">
        <v>0.71970000000000001</v>
      </c>
      <c r="S65" s="78"/>
      <c r="T65" s="21"/>
      <c r="U65" s="68"/>
      <c r="V65" s="68"/>
      <c r="W65" s="68"/>
      <c r="X65" s="68"/>
      <c r="Y65" s="78"/>
      <c r="Z65" s="78"/>
      <c r="AA65" s="78"/>
      <c r="AB65" s="78"/>
      <c r="AC65" s="21"/>
      <c r="AD65" s="68"/>
      <c r="AE65" s="68"/>
      <c r="AF65" s="68"/>
      <c r="AG65" s="68"/>
      <c r="AH65" s="78"/>
      <c r="AI65" s="78"/>
      <c r="AJ65" s="78"/>
      <c r="AK65" s="78"/>
      <c r="AL65" s="78"/>
    </row>
    <row r="66" spans="1:38" x14ac:dyDescent="0.2">
      <c r="S66" s="78"/>
      <c r="T66" s="78"/>
      <c r="U66" s="78"/>
      <c r="V66" s="78"/>
      <c r="W66" s="78"/>
      <c r="X66" s="78"/>
      <c r="Y66" s="78"/>
      <c r="Z66" s="78"/>
      <c r="AA66" s="78"/>
      <c r="AB66" s="78"/>
      <c r="AC66" s="78"/>
      <c r="AD66" s="78"/>
      <c r="AE66" s="78"/>
      <c r="AF66" s="78"/>
      <c r="AG66" s="78"/>
      <c r="AH66" s="78"/>
      <c r="AI66" s="78"/>
      <c r="AJ66" s="78"/>
      <c r="AK66" s="78"/>
      <c r="AL66" s="78"/>
    </row>
    <row r="67" spans="1:38" x14ac:dyDescent="0.2">
      <c r="B67" s="3" t="s">
        <v>44</v>
      </c>
      <c r="C67" s="76"/>
      <c r="D67" s="76"/>
      <c r="E67" s="76"/>
      <c r="F67" s="76"/>
      <c r="G67" s="76"/>
      <c r="K67" s="3" t="s">
        <v>44</v>
      </c>
      <c r="L67" s="76"/>
      <c r="M67" s="76"/>
      <c r="N67" s="76"/>
      <c r="O67" s="76"/>
      <c r="P67" s="76"/>
      <c r="Q67" s="76"/>
      <c r="S67" s="78"/>
      <c r="T67" s="78"/>
      <c r="U67" s="78"/>
      <c r="V67" s="78"/>
      <c r="W67" s="78"/>
      <c r="X67" s="78"/>
      <c r="Y67" s="78"/>
      <c r="Z67" s="78"/>
      <c r="AA67" s="78"/>
      <c r="AB67" s="78"/>
      <c r="AC67" s="78"/>
      <c r="AD67" s="78"/>
      <c r="AE67" s="78"/>
      <c r="AF67" s="78"/>
      <c r="AG67" s="78"/>
      <c r="AH67" s="78"/>
      <c r="AI67" s="78"/>
      <c r="AJ67" s="78"/>
      <c r="AK67" s="78"/>
      <c r="AL67" s="78"/>
    </row>
    <row r="68" spans="1:38" x14ac:dyDescent="0.2">
      <c r="B68" s="76"/>
      <c r="C68" s="16" t="s">
        <v>45</v>
      </c>
      <c r="D68" s="16" t="s">
        <v>46</v>
      </c>
      <c r="E68" s="16" t="s">
        <v>47</v>
      </c>
      <c r="F68" s="16" t="s">
        <v>48</v>
      </c>
      <c r="G68" s="16" t="s">
        <v>5</v>
      </c>
      <c r="K68" s="76"/>
      <c r="L68" s="16" t="s">
        <v>45</v>
      </c>
      <c r="M68" s="16" t="s">
        <v>46</v>
      </c>
      <c r="N68" s="16" t="s">
        <v>47</v>
      </c>
      <c r="O68" s="16" t="s">
        <v>48</v>
      </c>
      <c r="P68" s="16" t="s">
        <v>5</v>
      </c>
      <c r="Q68" s="16"/>
      <c r="S68" s="78"/>
      <c r="T68" s="78"/>
      <c r="U68" s="78"/>
      <c r="V68" s="78"/>
      <c r="W68" s="78"/>
      <c r="X68" s="78"/>
      <c r="Y68" s="78"/>
      <c r="Z68" s="78"/>
      <c r="AA68" s="78"/>
      <c r="AB68" s="78"/>
      <c r="AC68" s="78"/>
      <c r="AD68" s="78"/>
      <c r="AE68" s="78"/>
      <c r="AF68" s="78"/>
      <c r="AG68" s="78"/>
      <c r="AH68" s="78"/>
      <c r="AI68" s="78"/>
      <c r="AJ68" s="78"/>
      <c r="AK68" s="78"/>
      <c r="AL68" s="78"/>
    </row>
    <row r="69" spans="1:38" x14ac:dyDescent="0.2">
      <c r="B69" s="2" t="s">
        <v>6</v>
      </c>
      <c r="C69" s="1">
        <v>1.629</v>
      </c>
      <c r="D69" s="1" t="s">
        <v>342</v>
      </c>
      <c r="E69" s="1" t="s">
        <v>49</v>
      </c>
      <c r="F69" s="1" t="s">
        <v>9</v>
      </c>
      <c r="G69" s="1">
        <v>0.82099999999999995</v>
      </c>
      <c r="K69" s="2" t="s">
        <v>6</v>
      </c>
      <c r="L69" s="1">
        <v>-3.6819999999999999</v>
      </c>
      <c r="M69" s="1" t="s">
        <v>343</v>
      </c>
      <c r="N69" s="1" t="s">
        <v>49</v>
      </c>
      <c r="O69" s="1" t="s">
        <v>9</v>
      </c>
      <c r="P69" s="1">
        <v>0.13239999999999999</v>
      </c>
      <c r="Q69" s="1"/>
      <c r="S69" s="78"/>
      <c r="T69" s="78"/>
      <c r="U69" s="78"/>
      <c r="V69" s="78"/>
      <c r="W69" s="78"/>
      <c r="X69" s="78"/>
      <c r="Y69" s="78"/>
      <c r="Z69" s="78"/>
      <c r="AA69" s="78"/>
      <c r="AB69" s="78"/>
      <c r="AC69" s="78"/>
      <c r="AD69" s="78"/>
      <c r="AE69" s="78"/>
      <c r="AF69" s="78"/>
      <c r="AG69" s="78"/>
      <c r="AH69" s="78"/>
      <c r="AI69" s="78"/>
      <c r="AJ69" s="78"/>
      <c r="AK69" s="78"/>
      <c r="AL69" s="78"/>
    </row>
    <row r="70" spans="1:38" x14ac:dyDescent="0.2">
      <c r="B70" s="2" t="s">
        <v>7</v>
      </c>
      <c r="C70" s="1">
        <v>4.4690000000000003</v>
      </c>
      <c r="D70" s="1" t="s">
        <v>344</v>
      </c>
      <c r="E70" s="1" t="s">
        <v>49</v>
      </c>
      <c r="F70" s="1" t="s">
        <v>9</v>
      </c>
      <c r="G70" s="1">
        <v>0.16900000000000001</v>
      </c>
      <c r="K70" s="2" t="s">
        <v>7</v>
      </c>
      <c r="L70" s="1">
        <v>3.218</v>
      </c>
      <c r="M70" s="1" t="s">
        <v>345</v>
      </c>
      <c r="N70" s="1" t="s">
        <v>49</v>
      </c>
      <c r="O70" s="1" t="s">
        <v>9</v>
      </c>
      <c r="P70" s="1">
        <v>0.20250000000000001</v>
      </c>
      <c r="Q70" s="1"/>
      <c r="S70" s="78"/>
      <c r="T70" s="78"/>
      <c r="U70" s="78"/>
      <c r="V70" s="78"/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78"/>
      <c r="AI70" s="78"/>
      <c r="AJ70" s="78"/>
      <c r="AK70" s="78"/>
      <c r="AL70" s="78"/>
    </row>
    <row r="71" spans="1:38" x14ac:dyDescent="0.2">
      <c r="B71" s="2" t="s">
        <v>8</v>
      </c>
      <c r="C71" s="1">
        <v>1.5669999999999999</v>
      </c>
      <c r="D71" s="1" t="s">
        <v>346</v>
      </c>
      <c r="E71" s="1" t="s">
        <v>49</v>
      </c>
      <c r="F71" s="1" t="s">
        <v>9</v>
      </c>
      <c r="G71" s="1">
        <v>0.80120000000000002</v>
      </c>
      <c r="K71" s="2" t="s">
        <v>8</v>
      </c>
      <c r="L71" s="1">
        <v>4.2320000000000002</v>
      </c>
      <c r="M71" s="1" t="s">
        <v>347</v>
      </c>
      <c r="N71" s="1" t="s">
        <v>49</v>
      </c>
      <c r="O71" s="1" t="s">
        <v>9</v>
      </c>
      <c r="P71" s="1">
        <v>5.6399999999999999E-2</v>
      </c>
      <c r="Q71" s="1"/>
    </row>
    <row r="74" spans="1:38" x14ac:dyDescent="0.2">
      <c r="A74" s="52" t="s">
        <v>348</v>
      </c>
      <c r="B74" s="15" t="s">
        <v>53</v>
      </c>
      <c r="C74" s="1"/>
      <c r="J74" s="52" t="s">
        <v>349</v>
      </c>
      <c r="K74" s="15" t="s">
        <v>53</v>
      </c>
      <c r="L74" s="1"/>
    </row>
    <row r="75" spans="1:38" x14ac:dyDescent="0.2">
      <c r="B75" s="2" t="s">
        <v>0</v>
      </c>
      <c r="E75" s="1">
        <v>1.738</v>
      </c>
      <c r="K75" s="2" t="s">
        <v>0</v>
      </c>
      <c r="N75">
        <v>9.7469999999999999</v>
      </c>
    </row>
    <row r="76" spans="1:38" x14ac:dyDescent="0.2">
      <c r="B76" s="2" t="s">
        <v>36</v>
      </c>
      <c r="E76" s="1">
        <v>0.21690000000000001</v>
      </c>
      <c r="K76" s="2" t="s">
        <v>36</v>
      </c>
      <c r="N76">
        <v>2.5999999999999999E-3</v>
      </c>
    </row>
    <row r="77" spans="1:38" x14ac:dyDescent="0.2">
      <c r="B77" s="2" t="s">
        <v>37</v>
      </c>
      <c r="E77" s="46" t="s">
        <v>9</v>
      </c>
      <c r="K77" s="2" t="s">
        <v>37</v>
      </c>
      <c r="N77" s="95" t="s">
        <v>11</v>
      </c>
    </row>
    <row r="78" spans="1:38" x14ac:dyDescent="0.2">
      <c r="B78" s="2" t="s">
        <v>54</v>
      </c>
      <c r="E78" s="46" t="s">
        <v>49</v>
      </c>
      <c r="K78" s="2" t="s">
        <v>54</v>
      </c>
      <c r="N78" s="95" t="s">
        <v>41</v>
      </c>
    </row>
    <row r="79" spans="1:38" x14ac:dyDescent="0.2">
      <c r="B79" s="2" t="s">
        <v>55</v>
      </c>
      <c r="E79" s="1">
        <v>0.3216</v>
      </c>
      <c r="K79" s="2" t="s">
        <v>55</v>
      </c>
      <c r="N79">
        <v>0.74519999999999997</v>
      </c>
    </row>
    <row r="81" spans="1:17" x14ac:dyDescent="0.2">
      <c r="B81" s="115" t="s">
        <v>44</v>
      </c>
      <c r="K81" s="3" t="s">
        <v>44</v>
      </c>
      <c r="L81" s="76"/>
      <c r="M81" s="76"/>
      <c r="N81" s="76"/>
      <c r="O81" s="76"/>
      <c r="P81" s="76"/>
      <c r="Q81" s="76"/>
    </row>
    <row r="82" spans="1:17" x14ac:dyDescent="0.2">
      <c r="C82" s="86" t="s">
        <v>45</v>
      </c>
      <c r="D82" s="86" t="s">
        <v>46</v>
      </c>
      <c r="E82" s="86" t="s">
        <v>47</v>
      </c>
      <c r="F82" s="86" t="s">
        <v>48</v>
      </c>
      <c r="G82" s="86" t="s">
        <v>5</v>
      </c>
      <c r="K82" s="76"/>
      <c r="L82" s="16" t="s">
        <v>45</v>
      </c>
      <c r="M82" s="16" t="s">
        <v>46</v>
      </c>
      <c r="N82" s="16" t="s">
        <v>47</v>
      </c>
      <c r="O82" s="16" t="s">
        <v>48</v>
      </c>
      <c r="P82" s="16" t="s">
        <v>5</v>
      </c>
      <c r="Q82" s="16"/>
    </row>
    <row r="83" spans="1:17" x14ac:dyDescent="0.2">
      <c r="B83" s="2" t="s">
        <v>6</v>
      </c>
      <c r="C83" s="86">
        <v>-1.1719999999999999</v>
      </c>
      <c r="D83" s="86" t="s">
        <v>350</v>
      </c>
      <c r="E83" s="86" t="s">
        <v>49</v>
      </c>
      <c r="F83" s="86" t="s">
        <v>9</v>
      </c>
      <c r="G83" s="86">
        <v>0.90259999999999996</v>
      </c>
      <c r="K83" s="2" t="s">
        <v>6</v>
      </c>
      <c r="L83" s="1">
        <v>3.5950000000000002</v>
      </c>
      <c r="M83" s="1" t="s">
        <v>351</v>
      </c>
      <c r="N83" s="1" t="s">
        <v>41</v>
      </c>
      <c r="O83" s="1" t="s">
        <v>12</v>
      </c>
      <c r="P83" s="1">
        <v>3.1699999999999999E-2</v>
      </c>
      <c r="Q83" s="1"/>
    </row>
    <row r="84" spans="1:17" x14ac:dyDescent="0.2">
      <c r="B84" s="2" t="s">
        <v>7</v>
      </c>
      <c r="C84" s="86">
        <v>-4.6449999999999996</v>
      </c>
      <c r="D84" s="86" t="s">
        <v>352</v>
      </c>
      <c r="E84" s="86" t="s">
        <v>49</v>
      </c>
      <c r="F84" s="86" t="s">
        <v>9</v>
      </c>
      <c r="G84" s="86">
        <v>0.1128</v>
      </c>
      <c r="K84" s="2" t="s">
        <v>7</v>
      </c>
      <c r="L84" s="1">
        <v>-2.4380000000000002</v>
      </c>
      <c r="M84" s="1" t="s">
        <v>353</v>
      </c>
      <c r="N84" s="1" t="s">
        <v>49</v>
      </c>
      <c r="O84" s="1" t="s">
        <v>9</v>
      </c>
      <c r="P84" s="1">
        <v>0.15670000000000001</v>
      </c>
      <c r="Q84" s="1"/>
    </row>
    <row r="85" spans="1:17" x14ac:dyDescent="0.2">
      <c r="B85" s="2" t="s">
        <v>8</v>
      </c>
      <c r="C85" s="86">
        <v>-1.532</v>
      </c>
      <c r="D85" s="86" t="s">
        <v>354</v>
      </c>
      <c r="E85" s="86" t="s">
        <v>49</v>
      </c>
      <c r="F85" s="86" t="s">
        <v>9</v>
      </c>
      <c r="G85" s="86">
        <v>0.77559999999999996</v>
      </c>
      <c r="K85" s="2" t="s">
        <v>8</v>
      </c>
      <c r="L85" s="1">
        <v>-1.893</v>
      </c>
      <c r="M85" s="1" t="s">
        <v>355</v>
      </c>
      <c r="N85" s="1" t="s">
        <v>49</v>
      </c>
      <c r="O85" s="1" t="s">
        <v>9</v>
      </c>
      <c r="P85" s="1">
        <v>0.25979999999999998</v>
      </c>
      <c r="Q85" s="1"/>
    </row>
    <row r="88" spans="1:17" x14ac:dyDescent="0.2">
      <c r="A88" s="52" t="s">
        <v>356</v>
      </c>
      <c r="B88" s="15" t="s">
        <v>53</v>
      </c>
      <c r="C88" s="1"/>
      <c r="E88" s="1">
        <v>0.48859999999999998</v>
      </c>
      <c r="J88" s="52" t="s">
        <v>357</v>
      </c>
      <c r="K88" s="15" t="s">
        <v>53</v>
      </c>
      <c r="L88" s="1"/>
    </row>
    <row r="89" spans="1:17" x14ac:dyDescent="0.2">
      <c r="B89" s="2" t="s">
        <v>0</v>
      </c>
      <c r="E89" s="1">
        <v>0.69720000000000004</v>
      </c>
      <c r="K89" s="2" t="s">
        <v>0</v>
      </c>
      <c r="N89">
        <v>1.0960000000000001</v>
      </c>
    </row>
    <row r="90" spans="1:17" x14ac:dyDescent="0.2">
      <c r="B90" s="2" t="s">
        <v>36</v>
      </c>
      <c r="E90" s="46" t="s">
        <v>9</v>
      </c>
      <c r="K90" s="2" t="s">
        <v>36</v>
      </c>
      <c r="N90">
        <v>0.3952</v>
      </c>
    </row>
    <row r="91" spans="1:17" x14ac:dyDescent="0.2">
      <c r="B91" s="2" t="s">
        <v>37</v>
      </c>
      <c r="E91" s="46" t="s">
        <v>49</v>
      </c>
      <c r="K91" s="2" t="s">
        <v>37</v>
      </c>
      <c r="N91" s="95" t="s">
        <v>9</v>
      </c>
    </row>
    <row r="92" spans="1:17" x14ac:dyDescent="0.2">
      <c r="B92" s="2" t="s">
        <v>54</v>
      </c>
      <c r="E92" s="1">
        <v>0.1176</v>
      </c>
      <c r="K92" s="2" t="s">
        <v>54</v>
      </c>
      <c r="N92" s="95" t="s">
        <v>49</v>
      </c>
    </row>
    <row r="93" spans="1:17" x14ac:dyDescent="0.2">
      <c r="B93" s="2" t="s">
        <v>55</v>
      </c>
      <c r="K93" s="2" t="s">
        <v>55</v>
      </c>
      <c r="N93">
        <v>0.2475</v>
      </c>
    </row>
    <row r="95" spans="1:17" x14ac:dyDescent="0.2">
      <c r="B95" s="3" t="s">
        <v>44</v>
      </c>
      <c r="C95" s="76"/>
      <c r="D95" s="76"/>
      <c r="E95" s="76"/>
      <c r="F95" s="76"/>
      <c r="G95" s="76"/>
      <c r="K95" s="3" t="s">
        <v>44</v>
      </c>
      <c r="L95" s="76"/>
      <c r="M95" s="76"/>
      <c r="N95" s="76"/>
      <c r="O95" s="76"/>
      <c r="P95" s="76"/>
      <c r="Q95" s="76"/>
    </row>
    <row r="96" spans="1:17" x14ac:dyDescent="0.2">
      <c r="B96" s="76"/>
      <c r="C96" s="16" t="s">
        <v>45</v>
      </c>
      <c r="D96" s="16" t="s">
        <v>46</v>
      </c>
      <c r="E96" s="16" t="s">
        <v>47</v>
      </c>
      <c r="F96" s="16" t="s">
        <v>48</v>
      </c>
      <c r="G96" s="16" t="s">
        <v>5</v>
      </c>
      <c r="K96" s="76"/>
      <c r="L96" s="16" t="s">
        <v>45</v>
      </c>
      <c r="M96" s="16" t="s">
        <v>46</v>
      </c>
      <c r="N96" s="16" t="s">
        <v>47</v>
      </c>
      <c r="O96" s="16" t="s">
        <v>48</v>
      </c>
      <c r="P96" s="16" t="s">
        <v>5</v>
      </c>
      <c r="Q96" s="16"/>
    </row>
    <row r="97" spans="2:17" x14ac:dyDescent="0.2">
      <c r="B97" s="2" t="s">
        <v>6</v>
      </c>
      <c r="C97" s="1">
        <v>-0.4587</v>
      </c>
      <c r="D97" s="1" t="s">
        <v>358</v>
      </c>
      <c r="E97" s="1" t="s">
        <v>49</v>
      </c>
      <c r="F97" s="1" t="s">
        <v>9</v>
      </c>
      <c r="G97" s="1">
        <v>0.7</v>
      </c>
      <c r="K97" s="2" t="s">
        <v>6</v>
      </c>
      <c r="L97" s="1">
        <v>8.3330000000000001E-2</v>
      </c>
      <c r="M97" s="1" t="s">
        <v>359</v>
      </c>
      <c r="N97" s="1" t="s">
        <v>49</v>
      </c>
      <c r="O97" s="1" t="s">
        <v>9</v>
      </c>
      <c r="P97" s="46" t="s">
        <v>339</v>
      </c>
      <c r="Q97" s="46"/>
    </row>
    <row r="98" spans="2:17" x14ac:dyDescent="0.2">
      <c r="B98" s="2" t="s">
        <v>7</v>
      </c>
      <c r="C98" s="1">
        <v>0.17469999999999999</v>
      </c>
      <c r="D98" s="1" t="s">
        <v>360</v>
      </c>
      <c r="E98" s="1" t="s">
        <v>49</v>
      </c>
      <c r="F98" s="1" t="s">
        <v>9</v>
      </c>
      <c r="G98" s="1">
        <v>0.97270000000000001</v>
      </c>
      <c r="K98" s="2" t="s">
        <v>7</v>
      </c>
      <c r="L98" s="1">
        <v>-0.7833</v>
      </c>
      <c r="M98" s="1" t="s">
        <v>361</v>
      </c>
      <c r="N98" s="1" t="s">
        <v>49</v>
      </c>
      <c r="O98" s="1" t="s">
        <v>9</v>
      </c>
      <c r="P98" s="1">
        <v>0.93069999999999997</v>
      </c>
      <c r="Q98" s="1"/>
    </row>
    <row r="99" spans="2:17" x14ac:dyDescent="0.2">
      <c r="B99" s="2" t="s">
        <v>8</v>
      </c>
      <c r="C99" s="1">
        <v>-3.6999999999999998E-2</v>
      </c>
      <c r="D99" s="1" t="s">
        <v>362</v>
      </c>
      <c r="E99" s="1" t="s">
        <v>49</v>
      </c>
      <c r="F99" s="1" t="s">
        <v>9</v>
      </c>
      <c r="G99" s="1">
        <v>0.99960000000000004</v>
      </c>
      <c r="K99" s="2" t="s">
        <v>8</v>
      </c>
      <c r="L99" s="1">
        <v>-2.34</v>
      </c>
      <c r="M99" s="1" t="s">
        <v>363</v>
      </c>
      <c r="N99" s="1" t="s">
        <v>49</v>
      </c>
      <c r="O99" s="1" t="s">
        <v>9</v>
      </c>
      <c r="P99" s="1">
        <v>0.32179999999999997</v>
      </c>
      <c r="Q99" s="1"/>
    </row>
  </sheetData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AG99"/>
  <sheetViews>
    <sheetView zoomScale="77" zoomScaleNormal="77" zoomScalePageLayoutView="77" workbookViewId="0">
      <selection activeCell="G7" sqref="G7"/>
    </sheetView>
  </sheetViews>
  <sheetFormatPr baseColWidth="10" defaultRowHeight="16" x14ac:dyDescent="0.2"/>
  <cols>
    <col min="1" max="2" width="14.6640625" customWidth="1"/>
    <col min="4" max="4" width="15.5" customWidth="1"/>
    <col min="5" max="5" width="11.6640625" customWidth="1"/>
    <col min="7" max="7" width="16" customWidth="1"/>
    <col min="10" max="10" width="15.5" customWidth="1"/>
    <col min="11" max="11" width="14.83203125" customWidth="1"/>
    <col min="13" max="13" width="15.1640625" customWidth="1"/>
    <col min="14" max="14" width="11.33203125" customWidth="1"/>
    <col min="16" max="17" width="15.6640625" customWidth="1"/>
  </cols>
  <sheetData>
    <row r="1" spans="1:33" x14ac:dyDescent="0.2">
      <c r="A1" s="9"/>
      <c r="B1" s="9"/>
      <c r="C1" s="9"/>
      <c r="D1" s="9"/>
      <c r="E1" s="9"/>
      <c r="J1" s="9"/>
      <c r="K1" s="9"/>
      <c r="L1" s="9"/>
      <c r="M1" s="9"/>
      <c r="N1" s="9"/>
    </row>
    <row r="2" spans="1:33" ht="18" x14ac:dyDescent="0.2">
      <c r="A2" s="53" t="s">
        <v>1184</v>
      </c>
      <c r="B2" s="8"/>
      <c r="C2" s="8"/>
      <c r="D2" s="9"/>
      <c r="E2" s="9"/>
      <c r="J2" s="9"/>
      <c r="K2" s="9"/>
      <c r="L2" s="9"/>
      <c r="M2" s="9"/>
      <c r="N2" s="9"/>
    </row>
    <row r="3" spans="1:33" ht="18" x14ac:dyDescent="0.2">
      <c r="A3" s="80"/>
      <c r="B3" s="42"/>
      <c r="C3" s="42"/>
      <c r="D3" s="9"/>
      <c r="E3" s="9"/>
      <c r="J3" s="9"/>
      <c r="K3" s="9"/>
      <c r="L3" s="9"/>
      <c r="M3" s="9"/>
      <c r="N3" s="9"/>
    </row>
    <row r="4" spans="1:33" ht="18" x14ac:dyDescent="0.2">
      <c r="A4" s="53" t="s">
        <v>926</v>
      </c>
      <c r="B4" s="8"/>
      <c r="C4" s="8"/>
      <c r="D4" s="8"/>
      <c r="E4" s="9"/>
      <c r="J4" s="9"/>
      <c r="K4" s="9"/>
      <c r="L4" s="9"/>
      <c r="M4" s="9"/>
      <c r="N4" s="9"/>
    </row>
    <row r="5" spans="1:33" s="66" customFormat="1" ht="18" x14ac:dyDescent="0.2">
      <c r="A5" s="80"/>
      <c r="B5" s="42"/>
      <c r="C5" s="42"/>
      <c r="D5" s="42"/>
      <c r="E5" s="42"/>
      <c r="J5" s="42"/>
      <c r="K5" s="42"/>
      <c r="L5" s="42"/>
      <c r="M5" s="42"/>
      <c r="N5" s="42"/>
    </row>
    <row r="6" spans="1:33" ht="19" x14ac:dyDescent="0.25">
      <c r="A6" s="109"/>
      <c r="B6" s="14" t="s">
        <v>364</v>
      </c>
      <c r="C6" s="14"/>
      <c r="D6" s="14"/>
      <c r="E6" s="14"/>
      <c r="J6" s="109"/>
      <c r="K6" s="14" t="s">
        <v>364</v>
      </c>
      <c r="L6" s="14"/>
      <c r="M6" s="14"/>
      <c r="N6" s="14"/>
      <c r="T6" s="14" t="s">
        <v>364</v>
      </c>
      <c r="U6" s="14"/>
      <c r="V6" s="14"/>
      <c r="W6" s="14"/>
      <c r="AB6" s="109"/>
      <c r="AC6" s="14" t="s">
        <v>364</v>
      </c>
      <c r="AD6" s="14"/>
      <c r="AE6" s="14"/>
      <c r="AF6" s="14"/>
    </row>
    <row r="7" spans="1:33" x14ac:dyDescent="0.2">
      <c r="A7" s="9"/>
      <c r="B7" s="9"/>
      <c r="C7" s="9"/>
      <c r="D7" s="9"/>
      <c r="E7" s="9"/>
      <c r="J7" s="9"/>
      <c r="K7" s="9"/>
      <c r="L7" s="9"/>
      <c r="M7" s="9"/>
      <c r="N7" s="9"/>
      <c r="T7" s="9"/>
      <c r="U7" s="9"/>
      <c r="V7" s="9"/>
      <c r="W7" s="9"/>
      <c r="AB7" s="9"/>
      <c r="AC7" s="9"/>
      <c r="AD7" s="9"/>
      <c r="AE7" s="9"/>
      <c r="AF7" s="9"/>
    </row>
    <row r="8" spans="1:33" x14ac:dyDescent="0.2">
      <c r="A8" s="9"/>
      <c r="B8" s="9" t="s">
        <v>179</v>
      </c>
      <c r="C8" s="9"/>
      <c r="D8" s="9"/>
      <c r="E8" s="9"/>
      <c r="J8" s="9"/>
      <c r="K8" s="9" t="s">
        <v>179</v>
      </c>
      <c r="L8" s="9"/>
      <c r="M8" s="9"/>
      <c r="N8" s="9"/>
      <c r="T8" s="9" t="s">
        <v>180</v>
      </c>
      <c r="U8" s="9"/>
      <c r="V8" s="9"/>
      <c r="W8" s="9"/>
      <c r="AB8" s="9"/>
      <c r="AC8" s="9" t="s">
        <v>180</v>
      </c>
      <c r="AD8" s="9"/>
      <c r="AE8" s="9"/>
      <c r="AF8" s="9"/>
    </row>
    <row r="9" spans="1:33" x14ac:dyDescent="0.2">
      <c r="A9" s="9"/>
      <c r="B9" s="58"/>
      <c r="D9" s="9"/>
      <c r="E9" s="9"/>
      <c r="J9" s="9"/>
      <c r="K9" s="58"/>
      <c r="M9" s="9"/>
      <c r="N9" s="9"/>
      <c r="T9" s="58"/>
      <c r="V9" s="9"/>
      <c r="W9" s="9"/>
      <c r="AB9" s="9"/>
      <c r="AC9" s="58"/>
      <c r="AE9" s="9"/>
      <c r="AF9" s="9"/>
    </row>
    <row r="10" spans="1:33" x14ac:dyDescent="0.2">
      <c r="A10" s="9"/>
      <c r="B10" s="59" t="s">
        <v>181</v>
      </c>
      <c r="C10" s="60" t="s">
        <v>330</v>
      </c>
      <c r="D10" s="60" t="s">
        <v>331</v>
      </c>
      <c r="E10" s="60" t="s">
        <v>332</v>
      </c>
      <c r="J10" s="9"/>
      <c r="K10" s="59" t="s">
        <v>185</v>
      </c>
      <c r="L10" s="60" t="s">
        <v>330</v>
      </c>
      <c r="M10" s="60" t="s">
        <v>331</v>
      </c>
      <c r="N10" s="60" t="s">
        <v>332</v>
      </c>
      <c r="T10" s="59" t="s">
        <v>181</v>
      </c>
      <c r="U10" s="60" t="s">
        <v>333</v>
      </c>
      <c r="V10" s="60" t="s">
        <v>334</v>
      </c>
      <c r="W10" s="60" t="s">
        <v>335</v>
      </c>
      <c r="X10" s="60" t="s">
        <v>336</v>
      </c>
      <c r="AB10" s="9"/>
      <c r="AC10" s="59" t="s">
        <v>185</v>
      </c>
      <c r="AD10" s="60" t="s">
        <v>333</v>
      </c>
      <c r="AE10" s="60" t="s">
        <v>334</v>
      </c>
      <c r="AF10" s="60" t="s">
        <v>335</v>
      </c>
      <c r="AG10" s="60" t="s">
        <v>336</v>
      </c>
    </row>
    <row r="11" spans="1:33" x14ac:dyDescent="0.2">
      <c r="A11" s="9"/>
      <c r="B11" s="61" t="s">
        <v>598</v>
      </c>
      <c r="C11" s="55">
        <f>U11/X11*100</f>
        <v>22.614840989399294</v>
      </c>
      <c r="D11" s="55">
        <f>V11/X11*100</f>
        <v>0</v>
      </c>
      <c r="E11" s="55">
        <f>W11/X11*100</f>
        <v>0</v>
      </c>
      <c r="J11" s="9"/>
      <c r="K11" s="61" t="s">
        <v>598</v>
      </c>
      <c r="L11" s="55">
        <f>AD11/AG11*100</f>
        <v>10.526315789473683</v>
      </c>
      <c r="M11" s="55">
        <f>AE11/AG11*100</f>
        <v>0.56390977443609014</v>
      </c>
      <c r="N11" s="55">
        <f>AF11/AG11*100</f>
        <v>0.18796992481203006</v>
      </c>
      <c r="T11" s="61" t="s">
        <v>189</v>
      </c>
      <c r="U11" s="55">
        <v>64</v>
      </c>
      <c r="V11" s="55">
        <v>0</v>
      </c>
      <c r="W11" s="55">
        <v>0</v>
      </c>
      <c r="X11" s="55">
        <v>283</v>
      </c>
      <c r="AB11" s="9"/>
      <c r="AC11" s="61" t="s">
        <v>189</v>
      </c>
      <c r="AD11" s="55">
        <v>56</v>
      </c>
      <c r="AE11" s="55">
        <v>3</v>
      </c>
      <c r="AF11" s="55">
        <v>1</v>
      </c>
      <c r="AG11" s="55">
        <v>532</v>
      </c>
    </row>
    <row r="12" spans="1:33" x14ac:dyDescent="0.2">
      <c r="A12" s="9"/>
      <c r="B12" s="61" t="s">
        <v>599</v>
      </c>
      <c r="C12" s="55">
        <f t="shared" ref="C12:C15" si="0">U12/X12*100</f>
        <v>8.0745341614906838</v>
      </c>
      <c r="D12" s="55">
        <f t="shared" ref="D12:D15" si="1">V12/X12*100</f>
        <v>0.3105590062111801</v>
      </c>
      <c r="E12" s="55">
        <f t="shared" ref="E12:E15" si="2">W12/X12*100</f>
        <v>0</v>
      </c>
      <c r="J12" s="9"/>
      <c r="K12" s="61" t="s">
        <v>599</v>
      </c>
      <c r="L12" s="55">
        <f t="shared" ref="L12:L14" si="3">AD12/AG12*100</f>
        <v>2.1739130434782608</v>
      </c>
      <c r="M12" s="55">
        <f t="shared" ref="M12:M14" si="4">AE12/AG12*100</f>
        <v>0.81521739130434778</v>
      </c>
      <c r="N12" s="55">
        <f t="shared" ref="N12:N14" si="5">AF12/AG12*100</f>
        <v>0.27173913043478259</v>
      </c>
      <c r="T12" s="61" t="s">
        <v>190</v>
      </c>
      <c r="U12" s="55">
        <v>26</v>
      </c>
      <c r="V12" s="55">
        <v>1</v>
      </c>
      <c r="W12" s="55">
        <v>0</v>
      </c>
      <c r="X12" s="55">
        <v>322</v>
      </c>
      <c r="AB12" s="9"/>
      <c r="AC12" s="61" t="s">
        <v>190</v>
      </c>
      <c r="AD12" s="55">
        <v>8</v>
      </c>
      <c r="AE12" s="55">
        <v>3</v>
      </c>
      <c r="AF12" s="55">
        <v>1</v>
      </c>
      <c r="AG12" s="55">
        <v>368</v>
      </c>
    </row>
    <row r="13" spans="1:33" x14ac:dyDescent="0.2">
      <c r="A13" s="9"/>
      <c r="B13" s="61" t="s">
        <v>600</v>
      </c>
      <c r="C13" s="55">
        <f t="shared" si="0"/>
        <v>15.283842794759824</v>
      </c>
      <c r="D13" s="55">
        <f t="shared" si="1"/>
        <v>0</v>
      </c>
      <c r="E13" s="55">
        <f t="shared" si="2"/>
        <v>0</v>
      </c>
      <c r="J13" s="9"/>
      <c r="K13" s="61" t="s">
        <v>600</v>
      </c>
      <c r="L13" s="55">
        <f t="shared" si="3"/>
        <v>4.5751633986928102</v>
      </c>
      <c r="M13" s="55">
        <f t="shared" si="4"/>
        <v>0</v>
      </c>
      <c r="N13" s="55">
        <f t="shared" si="5"/>
        <v>0</v>
      </c>
      <c r="T13" s="61" t="s">
        <v>191</v>
      </c>
      <c r="U13" s="55">
        <v>35</v>
      </c>
      <c r="V13" s="55">
        <v>0</v>
      </c>
      <c r="W13" s="55">
        <v>0</v>
      </c>
      <c r="X13" s="55">
        <v>229</v>
      </c>
      <c r="AB13" s="9"/>
      <c r="AC13" s="61" t="s">
        <v>191</v>
      </c>
      <c r="AD13" s="55">
        <v>7</v>
      </c>
      <c r="AE13" s="55">
        <v>0</v>
      </c>
      <c r="AF13" s="55">
        <v>0</v>
      </c>
      <c r="AG13" s="55">
        <v>153</v>
      </c>
    </row>
    <row r="14" spans="1:33" x14ac:dyDescent="0.2">
      <c r="A14" s="9"/>
      <c r="B14" s="61" t="s">
        <v>601</v>
      </c>
      <c r="C14" s="55">
        <f t="shared" si="0"/>
        <v>12.757201646090536</v>
      </c>
      <c r="D14" s="55">
        <f t="shared" si="1"/>
        <v>0</v>
      </c>
      <c r="E14" s="55">
        <f t="shared" si="2"/>
        <v>0</v>
      </c>
      <c r="J14" s="9"/>
      <c r="K14" s="61" t="s">
        <v>601</v>
      </c>
      <c r="L14" s="55">
        <f t="shared" si="3"/>
        <v>3.6613272311212817</v>
      </c>
      <c r="M14" s="55">
        <f t="shared" si="4"/>
        <v>0</v>
      </c>
      <c r="N14" s="55">
        <f t="shared" si="5"/>
        <v>0</v>
      </c>
      <c r="T14" s="61" t="s">
        <v>192</v>
      </c>
      <c r="U14" s="55">
        <v>31</v>
      </c>
      <c r="V14" s="55">
        <v>0</v>
      </c>
      <c r="W14" s="55">
        <v>0</v>
      </c>
      <c r="X14" s="55">
        <v>243</v>
      </c>
      <c r="AB14" s="9"/>
      <c r="AC14" s="61" t="s">
        <v>192</v>
      </c>
      <c r="AD14" s="55">
        <v>16</v>
      </c>
      <c r="AE14" s="55">
        <v>0</v>
      </c>
      <c r="AF14" s="55">
        <v>0</v>
      </c>
      <c r="AG14" s="55">
        <v>437</v>
      </c>
    </row>
    <row r="15" spans="1:33" x14ac:dyDescent="0.2">
      <c r="A15" s="9"/>
      <c r="B15" s="61" t="s">
        <v>602</v>
      </c>
      <c r="C15" s="55">
        <f t="shared" si="0"/>
        <v>22.848664688427299</v>
      </c>
      <c r="D15" s="55">
        <f t="shared" si="1"/>
        <v>1.4836795252225521</v>
      </c>
      <c r="E15" s="55">
        <f t="shared" si="2"/>
        <v>0</v>
      </c>
      <c r="J15" s="9"/>
      <c r="K15" s="64"/>
      <c r="L15" s="64"/>
      <c r="M15" s="64"/>
      <c r="N15" s="64"/>
      <c r="T15" s="61" t="s">
        <v>193</v>
      </c>
      <c r="U15" s="55">
        <v>77</v>
      </c>
      <c r="V15" s="55">
        <v>5</v>
      </c>
      <c r="W15" s="55">
        <v>0</v>
      </c>
      <c r="X15" s="55">
        <v>337</v>
      </c>
      <c r="AB15" s="9"/>
      <c r="AC15" s="64"/>
      <c r="AD15" s="64"/>
      <c r="AE15" s="64"/>
      <c r="AF15" s="64"/>
      <c r="AG15" s="64"/>
    </row>
    <row r="16" spans="1:33" x14ac:dyDescent="0.2">
      <c r="A16" s="9"/>
      <c r="B16" s="64"/>
      <c r="C16" s="64"/>
      <c r="D16" s="64"/>
      <c r="E16" s="64"/>
      <c r="J16" s="9"/>
      <c r="K16" s="64"/>
      <c r="L16" s="64"/>
      <c r="M16" s="64"/>
      <c r="N16" s="64"/>
      <c r="T16" s="63"/>
      <c r="U16" s="64"/>
      <c r="V16" s="64"/>
      <c r="W16" s="64"/>
      <c r="X16" s="64"/>
      <c r="AB16" s="9"/>
      <c r="AC16" s="64"/>
      <c r="AD16" s="64"/>
      <c r="AE16" s="64"/>
      <c r="AF16" s="64"/>
      <c r="AG16" s="64"/>
    </row>
    <row r="17" spans="1:33" x14ac:dyDescent="0.2">
      <c r="A17" s="9"/>
      <c r="B17" s="59" t="s">
        <v>181</v>
      </c>
      <c r="C17" s="60" t="s">
        <v>330</v>
      </c>
      <c r="D17" s="60" t="s">
        <v>331</v>
      </c>
      <c r="E17" s="60" t="s">
        <v>332</v>
      </c>
      <c r="J17" s="9"/>
      <c r="K17" s="59" t="s">
        <v>185</v>
      </c>
      <c r="L17" s="60" t="s">
        <v>330</v>
      </c>
      <c r="M17" s="60" t="s">
        <v>331</v>
      </c>
      <c r="N17" s="60" t="s">
        <v>332</v>
      </c>
      <c r="T17" s="59" t="s">
        <v>181</v>
      </c>
      <c r="U17" s="60" t="s">
        <v>333</v>
      </c>
      <c r="V17" s="60" t="s">
        <v>334</v>
      </c>
      <c r="W17" s="60" t="s">
        <v>335</v>
      </c>
      <c r="X17" s="60" t="s">
        <v>336</v>
      </c>
      <c r="AB17" s="9"/>
      <c r="AC17" s="59" t="s">
        <v>185</v>
      </c>
      <c r="AD17" s="60" t="s">
        <v>333</v>
      </c>
      <c r="AE17" s="60" t="s">
        <v>334</v>
      </c>
      <c r="AF17" s="60" t="s">
        <v>335</v>
      </c>
      <c r="AG17" s="60" t="s">
        <v>336</v>
      </c>
    </row>
    <row r="18" spans="1:33" x14ac:dyDescent="0.2">
      <c r="A18" s="9"/>
      <c r="B18" s="59" t="s">
        <v>194</v>
      </c>
      <c r="C18" s="55">
        <f t="shared" ref="C18:C20" si="6">U18/X18*100</f>
        <v>13.821138211382115</v>
      </c>
      <c r="D18" s="55">
        <f t="shared" ref="D18:D20" si="7">V18/X18*100</f>
        <v>0.40650406504065045</v>
      </c>
      <c r="E18" s="55">
        <f t="shared" ref="E18:E20" si="8">W18/X18*100</f>
        <v>0.40650406504065045</v>
      </c>
      <c r="J18" s="9"/>
      <c r="K18" s="59" t="s">
        <v>194</v>
      </c>
      <c r="L18" s="55">
        <f t="shared" ref="L18:L20" si="9">AD18/AG18*100</f>
        <v>2.8443113772455089</v>
      </c>
      <c r="M18" s="55">
        <f t="shared" ref="M18:M20" si="10">AE18/AG18*100</f>
        <v>0</v>
      </c>
      <c r="N18" s="55">
        <f t="shared" ref="N18:N20" si="11">AF18/AG18*100</f>
        <v>0</v>
      </c>
      <c r="T18" s="59" t="s">
        <v>194</v>
      </c>
      <c r="U18" s="55">
        <v>34</v>
      </c>
      <c r="V18" s="55">
        <v>1</v>
      </c>
      <c r="W18" s="55">
        <v>1</v>
      </c>
      <c r="X18" s="55">
        <v>246</v>
      </c>
      <c r="AB18" s="9"/>
      <c r="AC18" s="59" t="s">
        <v>194</v>
      </c>
      <c r="AD18" s="55">
        <v>19</v>
      </c>
      <c r="AE18" s="55">
        <v>0</v>
      </c>
      <c r="AF18" s="55">
        <v>0</v>
      </c>
      <c r="AG18" s="55">
        <v>668</v>
      </c>
    </row>
    <row r="19" spans="1:33" x14ac:dyDescent="0.2">
      <c r="A19" s="9"/>
      <c r="B19" s="59" t="s">
        <v>195</v>
      </c>
      <c r="C19" s="55">
        <f t="shared" si="6"/>
        <v>11.646586345381527</v>
      </c>
      <c r="D19" s="55">
        <f t="shared" si="7"/>
        <v>0.80321285140562237</v>
      </c>
      <c r="E19" s="55">
        <f t="shared" si="8"/>
        <v>0</v>
      </c>
      <c r="J19" s="9"/>
      <c r="K19" s="59" t="s">
        <v>195</v>
      </c>
      <c r="L19" s="55">
        <f t="shared" si="9"/>
        <v>10.741687979539643</v>
      </c>
      <c r="M19" s="55">
        <f t="shared" si="10"/>
        <v>2.0460358056265986</v>
      </c>
      <c r="N19" s="55">
        <f t="shared" si="11"/>
        <v>0</v>
      </c>
      <c r="T19" s="59" t="s">
        <v>195</v>
      </c>
      <c r="U19" s="55">
        <v>29</v>
      </c>
      <c r="V19" s="55">
        <v>2</v>
      </c>
      <c r="W19" s="55">
        <v>0</v>
      </c>
      <c r="X19" s="55">
        <v>249</v>
      </c>
      <c r="AB19" s="9"/>
      <c r="AC19" s="59" t="s">
        <v>195</v>
      </c>
      <c r="AD19" s="55">
        <v>42</v>
      </c>
      <c r="AE19" s="55">
        <v>8</v>
      </c>
      <c r="AF19" s="55">
        <v>0</v>
      </c>
      <c r="AG19" s="55">
        <v>391</v>
      </c>
    </row>
    <row r="20" spans="1:33" x14ac:dyDescent="0.2">
      <c r="B20" s="59" t="s">
        <v>196</v>
      </c>
      <c r="C20" s="55">
        <f t="shared" si="6"/>
        <v>3.7267080745341614</v>
      </c>
      <c r="D20" s="55">
        <f t="shared" si="7"/>
        <v>0</v>
      </c>
      <c r="E20" s="55">
        <f t="shared" si="8"/>
        <v>0</v>
      </c>
      <c r="K20" s="59" t="s">
        <v>196</v>
      </c>
      <c r="L20" s="55">
        <f t="shared" si="9"/>
        <v>11.336032388663968</v>
      </c>
      <c r="M20" s="55">
        <f t="shared" si="10"/>
        <v>0</v>
      </c>
      <c r="N20" s="55">
        <f t="shared" si="11"/>
        <v>0</v>
      </c>
      <c r="T20" s="59" t="s">
        <v>196</v>
      </c>
      <c r="U20" s="55">
        <v>18</v>
      </c>
      <c r="V20" s="55">
        <v>0</v>
      </c>
      <c r="W20" s="55">
        <v>0</v>
      </c>
      <c r="X20" s="55">
        <v>483</v>
      </c>
      <c r="AC20" s="59" t="s">
        <v>196</v>
      </c>
      <c r="AD20" s="55">
        <v>28</v>
      </c>
      <c r="AE20" s="55">
        <v>0</v>
      </c>
      <c r="AF20" s="55">
        <v>0</v>
      </c>
      <c r="AG20" s="55">
        <v>247</v>
      </c>
    </row>
    <row r="21" spans="1:33" x14ac:dyDescent="0.2">
      <c r="B21" s="64"/>
      <c r="C21" s="64"/>
      <c r="D21" s="64"/>
      <c r="E21" s="64"/>
      <c r="K21" s="64"/>
      <c r="L21" s="64"/>
      <c r="M21" s="64"/>
      <c r="N21" s="64"/>
      <c r="T21" s="21"/>
      <c r="U21" s="64"/>
      <c r="V21" s="64"/>
      <c r="W21" s="64"/>
      <c r="X21" s="64"/>
      <c r="AC21" s="21"/>
      <c r="AD21" s="64"/>
      <c r="AE21" s="64"/>
      <c r="AF21" s="64"/>
      <c r="AG21" s="64"/>
    </row>
    <row r="22" spans="1:33" x14ac:dyDescent="0.2">
      <c r="B22" s="59" t="s">
        <v>181</v>
      </c>
      <c r="C22" s="60" t="s">
        <v>330</v>
      </c>
      <c r="D22" s="60" t="s">
        <v>331</v>
      </c>
      <c r="E22" s="60" t="s">
        <v>332</v>
      </c>
      <c r="K22" s="59" t="s">
        <v>185</v>
      </c>
      <c r="L22" s="60" t="s">
        <v>330</v>
      </c>
      <c r="M22" s="60" t="s">
        <v>331</v>
      </c>
      <c r="N22" s="60" t="s">
        <v>332</v>
      </c>
      <c r="T22" s="59" t="s">
        <v>181</v>
      </c>
      <c r="U22" s="60" t="s">
        <v>333</v>
      </c>
      <c r="V22" s="60" t="s">
        <v>334</v>
      </c>
      <c r="W22" s="60" t="s">
        <v>335</v>
      </c>
      <c r="X22" s="60" t="s">
        <v>336</v>
      </c>
      <c r="AC22" s="59" t="s">
        <v>185</v>
      </c>
      <c r="AD22" s="60" t="s">
        <v>333</v>
      </c>
      <c r="AE22" s="60" t="s">
        <v>334</v>
      </c>
      <c r="AF22" s="60" t="s">
        <v>335</v>
      </c>
      <c r="AG22" s="60" t="s">
        <v>336</v>
      </c>
    </row>
    <row r="23" spans="1:33" x14ac:dyDescent="0.2">
      <c r="B23" s="59" t="s">
        <v>197</v>
      </c>
      <c r="C23" s="55">
        <f t="shared" ref="C23:C25" si="12">U23/X23*100</f>
        <v>9.5238095238095237</v>
      </c>
      <c r="D23" s="55">
        <f t="shared" ref="D23:D25" si="13">V23/X23*100</f>
        <v>0.4329004329004329</v>
      </c>
      <c r="E23" s="55">
        <f t="shared" ref="E23:E25" si="14">W23/X23*100</f>
        <v>0</v>
      </c>
      <c r="K23" s="59" t="s">
        <v>197</v>
      </c>
      <c r="L23" s="55">
        <f t="shared" ref="L23:L25" si="15">AD23/AG23*100</f>
        <v>12.075471698113208</v>
      </c>
      <c r="M23" s="55">
        <f t="shared" ref="M23:M25" si="16">AE23/AG23*100</f>
        <v>0.37735849056603776</v>
      </c>
      <c r="N23" s="55">
        <f t="shared" ref="N23:N25" si="17">AF23/AG23*100</f>
        <v>0.75471698113207553</v>
      </c>
      <c r="T23" s="59" t="s">
        <v>197</v>
      </c>
      <c r="U23" s="55">
        <v>22</v>
      </c>
      <c r="V23" s="55">
        <v>1</v>
      </c>
      <c r="W23" s="55">
        <v>0</v>
      </c>
      <c r="X23" s="55">
        <v>231</v>
      </c>
      <c r="AC23" s="59" t="s">
        <v>197</v>
      </c>
      <c r="AD23" s="55">
        <v>32</v>
      </c>
      <c r="AE23" s="55">
        <v>1</v>
      </c>
      <c r="AF23" s="55">
        <v>2</v>
      </c>
      <c r="AG23" s="55">
        <v>265</v>
      </c>
    </row>
    <row r="24" spans="1:33" x14ac:dyDescent="0.2">
      <c r="B24" s="59" t="s">
        <v>198</v>
      </c>
      <c r="C24" s="55">
        <f t="shared" si="12"/>
        <v>17.372881355932204</v>
      </c>
      <c r="D24" s="55">
        <f t="shared" si="13"/>
        <v>2.5423728813559325</v>
      </c>
      <c r="E24" s="55">
        <f t="shared" si="14"/>
        <v>0</v>
      </c>
      <c r="K24" s="59" t="s">
        <v>198</v>
      </c>
      <c r="L24" s="55">
        <f t="shared" si="15"/>
        <v>13.505747126436782</v>
      </c>
      <c r="M24" s="55">
        <f t="shared" si="16"/>
        <v>0.86206896551724133</v>
      </c>
      <c r="N24" s="55">
        <f t="shared" si="17"/>
        <v>0</v>
      </c>
      <c r="T24" s="59" t="s">
        <v>198</v>
      </c>
      <c r="U24" s="55">
        <v>41</v>
      </c>
      <c r="V24" s="55">
        <v>6</v>
      </c>
      <c r="W24" s="55">
        <v>0</v>
      </c>
      <c r="X24" s="55">
        <v>236</v>
      </c>
      <c r="AC24" s="59" t="s">
        <v>198</v>
      </c>
      <c r="AD24" s="55">
        <v>47</v>
      </c>
      <c r="AE24" s="55">
        <v>3</v>
      </c>
      <c r="AF24" s="55">
        <v>0</v>
      </c>
      <c r="AG24" s="55">
        <v>348</v>
      </c>
    </row>
    <row r="25" spans="1:33" x14ac:dyDescent="0.2">
      <c r="B25" s="59" t="s">
        <v>199</v>
      </c>
      <c r="C25" s="55">
        <f t="shared" si="12"/>
        <v>9.8591549295774641</v>
      </c>
      <c r="D25" s="55">
        <f t="shared" si="13"/>
        <v>0</v>
      </c>
      <c r="E25" s="55">
        <f t="shared" si="14"/>
        <v>0</v>
      </c>
      <c r="K25" s="59" t="s">
        <v>199</v>
      </c>
      <c r="L25" s="55">
        <f t="shared" si="15"/>
        <v>11.111111111111111</v>
      </c>
      <c r="M25" s="55">
        <f t="shared" si="16"/>
        <v>1.0416666666666665</v>
      </c>
      <c r="N25" s="55">
        <f t="shared" si="17"/>
        <v>0</v>
      </c>
      <c r="T25" s="59" t="s">
        <v>199</v>
      </c>
      <c r="U25" s="55">
        <v>21</v>
      </c>
      <c r="V25" s="55">
        <v>0</v>
      </c>
      <c r="W25" s="55">
        <v>0</v>
      </c>
      <c r="X25" s="55">
        <v>213</v>
      </c>
      <c r="AC25" s="59" t="s">
        <v>199</v>
      </c>
      <c r="AD25" s="55">
        <v>32</v>
      </c>
      <c r="AE25" s="55">
        <v>3</v>
      </c>
      <c r="AF25" s="55">
        <v>0</v>
      </c>
      <c r="AG25" s="55">
        <v>288</v>
      </c>
    </row>
    <row r="26" spans="1:33" x14ac:dyDescent="0.2">
      <c r="B26" s="64"/>
      <c r="C26" s="64"/>
      <c r="D26" s="64"/>
      <c r="E26" s="64"/>
      <c r="K26" s="64"/>
      <c r="L26" s="64"/>
      <c r="M26" s="64"/>
      <c r="N26" s="64"/>
      <c r="T26" s="21"/>
      <c r="U26" s="64"/>
      <c r="V26" s="64"/>
      <c r="W26" s="64"/>
      <c r="X26" s="64"/>
      <c r="AC26" s="21"/>
      <c r="AD26" s="64"/>
      <c r="AE26" s="64"/>
      <c r="AF26" s="64"/>
      <c r="AG26" s="64"/>
    </row>
    <row r="27" spans="1:33" x14ac:dyDescent="0.2">
      <c r="B27" s="59" t="s">
        <v>181</v>
      </c>
      <c r="C27" s="60" t="s">
        <v>330</v>
      </c>
      <c r="D27" s="60" t="s">
        <v>331</v>
      </c>
      <c r="E27" s="60" t="s">
        <v>332</v>
      </c>
      <c r="K27" s="59" t="s">
        <v>185</v>
      </c>
      <c r="L27" s="60" t="s">
        <v>330</v>
      </c>
      <c r="M27" s="60" t="s">
        <v>331</v>
      </c>
      <c r="N27" s="60" t="s">
        <v>332</v>
      </c>
      <c r="T27" s="59" t="s">
        <v>181</v>
      </c>
      <c r="U27" s="60" t="s">
        <v>333</v>
      </c>
      <c r="V27" s="60" t="s">
        <v>334</v>
      </c>
      <c r="W27" s="60" t="s">
        <v>335</v>
      </c>
      <c r="X27" s="60" t="s">
        <v>336</v>
      </c>
      <c r="AC27" s="59" t="s">
        <v>185</v>
      </c>
      <c r="AD27" s="60" t="s">
        <v>333</v>
      </c>
      <c r="AE27" s="60" t="s">
        <v>334</v>
      </c>
      <c r="AF27" s="60" t="s">
        <v>335</v>
      </c>
      <c r="AG27" s="60" t="s">
        <v>336</v>
      </c>
    </row>
    <row r="28" spans="1:33" x14ac:dyDescent="0.2">
      <c r="B28" s="59" t="s">
        <v>200</v>
      </c>
      <c r="C28" s="55">
        <f t="shared" ref="C28:C31" si="18">U28/X28*100</f>
        <v>16.319444444444446</v>
      </c>
      <c r="D28" s="55">
        <f t="shared" ref="D28:D31" si="19">V28/X28*100</f>
        <v>0</v>
      </c>
      <c r="E28" s="55">
        <f t="shared" ref="E28:E31" si="20">W28/X28*100</f>
        <v>0</v>
      </c>
      <c r="K28" s="59" t="s">
        <v>200</v>
      </c>
      <c r="L28" s="55">
        <f t="shared" ref="L28:L31" si="21">AD28/AG28*100</f>
        <v>15.677966101694915</v>
      </c>
      <c r="M28" s="55">
        <f t="shared" ref="M28:M31" si="22">AE28/AG28*100</f>
        <v>1.6949152542372881</v>
      </c>
      <c r="N28" s="55">
        <f t="shared" ref="N28:N31" si="23">AF28/AG28*100</f>
        <v>0</v>
      </c>
      <c r="T28" s="59" t="s">
        <v>200</v>
      </c>
      <c r="U28" s="55">
        <v>47</v>
      </c>
      <c r="V28" s="55">
        <v>0</v>
      </c>
      <c r="W28" s="55">
        <v>0</v>
      </c>
      <c r="X28" s="55">
        <v>288</v>
      </c>
      <c r="AC28" s="59" t="s">
        <v>200</v>
      </c>
      <c r="AD28" s="55">
        <v>37</v>
      </c>
      <c r="AE28" s="55">
        <v>4</v>
      </c>
      <c r="AF28" s="55">
        <v>0</v>
      </c>
      <c r="AG28" s="55">
        <v>236</v>
      </c>
    </row>
    <row r="29" spans="1:33" x14ac:dyDescent="0.2">
      <c r="B29" s="59" t="s">
        <v>201</v>
      </c>
      <c r="C29" s="55">
        <f t="shared" si="18"/>
        <v>13.100436681222707</v>
      </c>
      <c r="D29" s="55">
        <f t="shared" si="19"/>
        <v>0.87336244541484709</v>
      </c>
      <c r="E29" s="55">
        <f t="shared" si="20"/>
        <v>0</v>
      </c>
      <c r="K29" s="59" t="s">
        <v>201</v>
      </c>
      <c r="L29" s="55">
        <f t="shared" si="21"/>
        <v>16.216216216216218</v>
      </c>
      <c r="M29" s="55">
        <f t="shared" si="22"/>
        <v>1.1583011583011582</v>
      </c>
      <c r="N29" s="55">
        <f t="shared" si="23"/>
        <v>0</v>
      </c>
      <c r="T29" s="59" t="s">
        <v>201</v>
      </c>
      <c r="U29" s="55">
        <v>30</v>
      </c>
      <c r="V29" s="55">
        <v>2</v>
      </c>
      <c r="W29" s="55">
        <v>0</v>
      </c>
      <c r="X29" s="55">
        <v>229</v>
      </c>
      <c r="AC29" s="59" t="s">
        <v>201</v>
      </c>
      <c r="AD29" s="55">
        <v>42</v>
      </c>
      <c r="AE29" s="55">
        <v>3</v>
      </c>
      <c r="AF29" s="55">
        <v>0</v>
      </c>
      <c r="AG29" s="55">
        <v>259</v>
      </c>
    </row>
    <row r="30" spans="1:33" x14ac:dyDescent="0.2">
      <c r="B30" s="59" t="s">
        <v>202</v>
      </c>
      <c r="C30" s="55">
        <f t="shared" si="18"/>
        <v>32.8125</v>
      </c>
      <c r="D30" s="55">
        <f t="shared" si="19"/>
        <v>2.734375</v>
      </c>
      <c r="E30" s="55">
        <f t="shared" si="20"/>
        <v>0.390625</v>
      </c>
      <c r="K30" s="59" t="s">
        <v>202</v>
      </c>
      <c r="L30" s="55">
        <f t="shared" si="21"/>
        <v>13.4375</v>
      </c>
      <c r="M30" s="55">
        <f t="shared" si="22"/>
        <v>0.625</v>
      </c>
      <c r="N30" s="55">
        <f t="shared" si="23"/>
        <v>0</v>
      </c>
      <c r="T30" s="59" t="s">
        <v>202</v>
      </c>
      <c r="U30" s="55">
        <v>84</v>
      </c>
      <c r="V30" s="55">
        <v>7</v>
      </c>
      <c r="W30" s="55">
        <v>1</v>
      </c>
      <c r="X30" s="55">
        <v>256</v>
      </c>
      <c r="AC30" s="59" t="s">
        <v>202</v>
      </c>
      <c r="AD30" s="55">
        <v>43</v>
      </c>
      <c r="AE30" s="55">
        <v>2</v>
      </c>
      <c r="AF30" s="55">
        <v>0</v>
      </c>
      <c r="AG30" s="55">
        <v>320</v>
      </c>
    </row>
    <row r="31" spans="1:33" x14ac:dyDescent="0.2">
      <c r="B31" s="59" t="s">
        <v>337</v>
      </c>
      <c r="C31" s="55">
        <f t="shared" si="18"/>
        <v>5.3140096618357484</v>
      </c>
      <c r="D31" s="55">
        <f t="shared" si="19"/>
        <v>0</v>
      </c>
      <c r="E31" s="55">
        <f t="shared" si="20"/>
        <v>0</v>
      </c>
      <c r="K31" s="59" t="s">
        <v>337</v>
      </c>
      <c r="L31" s="55">
        <f t="shared" si="21"/>
        <v>20.289855072463769</v>
      </c>
      <c r="M31" s="55">
        <f t="shared" si="22"/>
        <v>1.2077294685990339</v>
      </c>
      <c r="N31" s="55">
        <f t="shared" si="23"/>
        <v>0</v>
      </c>
      <c r="T31" s="59" t="s">
        <v>337</v>
      </c>
      <c r="U31" s="55">
        <v>11</v>
      </c>
      <c r="V31" s="55">
        <v>0</v>
      </c>
      <c r="W31" s="55">
        <v>0</v>
      </c>
      <c r="X31" s="55">
        <v>207</v>
      </c>
      <c r="AC31" s="59" t="s">
        <v>337</v>
      </c>
      <c r="AD31" s="55">
        <v>84</v>
      </c>
      <c r="AE31" s="55">
        <v>5</v>
      </c>
      <c r="AF31" s="55">
        <v>0</v>
      </c>
      <c r="AG31" s="55">
        <v>414</v>
      </c>
    </row>
    <row r="32" spans="1:33" x14ac:dyDescent="0.2">
      <c r="B32" s="64"/>
      <c r="C32" s="64"/>
      <c r="D32" s="64"/>
      <c r="E32" s="64"/>
      <c r="K32" s="64"/>
      <c r="L32" s="64"/>
      <c r="M32" s="64"/>
      <c r="N32" s="64"/>
      <c r="T32" s="21"/>
      <c r="U32" s="64"/>
      <c r="V32" s="64"/>
      <c r="W32" s="64"/>
      <c r="X32" s="64"/>
      <c r="AC32" s="21"/>
      <c r="AD32" s="64"/>
      <c r="AE32" s="64"/>
      <c r="AF32" s="64"/>
      <c r="AG32" s="64"/>
    </row>
    <row r="34" spans="1:33" x14ac:dyDescent="0.2">
      <c r="A34" s="68" t="s">
        <v>51</v>
      </c>
      <c r="B34" s="59" t="s">
        <v>181</v>
      </c>
      <c r="C34" s="60" t="s">
        <v>330</v>
      </c>
      <c r="D34" s="60" t="s">
        <v>331</v>
      </c>
      <c r="E34" s="60" t="s">
        <v>332</v>
      </c>
      <c r="J34" s="68" t="s">
        <v>51</v>
      </c>
      <c r="K34" s="59" t="s">
        <v>185</v>
      </c>
      <c r="L34" s="60" t="s">
        <v>330</v>
      </c>
      <c r="M34" s="60" t="s">
        <v>331</v>
      </c>
      <c r="N34" s="60" t="s">
        <v>332</v>
      </c>
      <c r="S34" s="68" t="s">
        <v>338</v>
      </c>
      <c r="T34" s="59" t="s">
        <v>181</v>
      </c>
      <c r="U34" s="60" t="s">
        <v>333</v>
      </c>
      <c r="V34" s="60" t="s">
        <v>334</v>
      </c>
      <c r="W34" s="60" t="s">
        <v>335</v>
      </c>
      <c r="X34" s="60" t="s">
        <v>336</v>
      </c>
      <c r="AB34" s="68" t="s">
        <v>338</v>
      </c>
      <c r="AC34" s="59" t="s">
        <v>185</v>
      </c>
      <c r="AD34" s="60" t="s">
        <v>333</v>
      </c>
      <c r="AE34" s="60" t="s">
        <v>334</v>
      </c>
      <c r="AF34" s="60" t="s">
        <v>335</v>
      </c>
      <c r="AG34" s="60" t="s">
        <v>336</v>
      </c>
    </row>
    <row r="35" spans="1:33" x14ac:dyDescent="0.2">
      <c r="B35" s="59" t="s">
        <v>1</v>
      </c>
      <c r="C35" s="17">
        <f>AVERAGE(C11:C15)</f>
        <v>16.315816856033528</v>
      </c>
      <c r="D35" s="17">
        <f>AVERAGE(D11:D15)</f>
        <v>0.35884770628674645</v>
      </c>
      <c r="E35" s="17">
        <f>AVERAGE(E11:E15)</f>
        <v>0</v>
      </c>
      <c r="K35" s="59" t="s">
        <v>1</v>
      </c>
      <c r="L35" s="17">
        <f>AVERAGE(L11:L14)</f>
        <v>5.2341798656915079</v>
      </c>
      <c r="M35" s="17">
        <f t="shared" ref="M35:N35" si="24">AVERAGE(M11:M14)</f>
        <v>0.34478179143510945</v>
      </c>
      <c r="N35" s="17">
        <f t="shared" si="24"/>
        <v>0.11492726381170316</v>
      </c>
      <c r="T35" s="59" t="s">
        <v>203</v>
      </c>
      <c r="U35" s="17">
        <f>SUM(U11:U15)</f>
        <v>233</v>
      </c>
      <c r="V35" s="17">
        <f t="shared" ref="V35:X35" si="25">SUM(V11:V15)</f>
        <v>6</v>
      </c>
      <c r="W35" s="17">
        <f t="shared" si="25"/>
        <v>0</v>
      </c>
      <c r="X35" s="17">
        <f t="shared" si="25"/>
        <v>1414</v>
      </c>
      <c r="AC35" s="59" t="s">
        <v>203</v>
      </c>
      <c r="AD35" s="17">
        <f>SUM(AD11:AD14)</f>
        <v>87</v>
      </c>
      <c r="AE35" s="17">
        <f t="shared" ref="AE35:AG35" si="26">SUM(AE11:AE14)</f>
        <v>6</v>
      </c>
      <c r="AF35" s="17">
        <f t="shared" si="26"/>
        <v>2</v>
      </c>
      <c r="AG35" s="17">
        <f t="shared" si="26"/>
        <v>1490</v>
      </c>
    </row>
    <row r="36" spans="1:33" x14ac:dyDescent="0.2">
      <c r="B36" s="59" t="s">
        <v>2</v>
      </c>
      <c r="C36" s="17">
        <f>AVERAGE(C18:C20)</f>
        <v>9.7314775437659353</v>
      </c>
      <c r="D36" s="17">
        <f>AVERAGE(D18:D20)</f>
        <v>0.40323897214875765</v>
      </c>
      <c r="E36" s="17">
        <f>AVERAGE(E18:E20)</f>
        <v>0.13550135501355015</v>
      </c>
      <c r="K36" s="59" t="s">
        <v>2</v>
      </c>
      <c r="L36" s="17">
        <f>AVERAGE(L18:L20)</f>
        <v>8.3073439151497066</v>
      </c>
      <c r="M36" s="17">
        <f>AVERAGE(M18:M20)</f>
        <v>0.68201193520886616</v>
      </c>
      <c r="N36" s="17">
        <f>AVERAGE(N18:N20)</f>
        <v>0</v>
      </c>
      <c r="T36" s="59" t="s">
        <v>2</v>
      </c>
      <c r="U36" s="17">
        <f>SUM(U18:U20)</f>
        <v>81</v>
      </c>
      <c r="V36" s="17">
        <f t="shared" ref="V36:W36" si="27">SUM(V18:V20)</f>
        <v>3</v>
      </c>
      <c r="W36" s="17">
        <f t="shared" si="27"/>
        <v>1</v>
      </c>
      <c r="X36" s="17">
        <f>SUM(X18:X20)</f>
        <v>978</v>
      </c>
      <c r="AC36" s="59" t="s">
        <v>2</v>
      </c>
      <c r="AD36" s="17">
        <f>SUM(AD18:AD20)</f>
        <v>89</v>
      </c>
      <c r="AE36" s="17">
        <f t="shared" ref="AE36:AF36" si="28">SUM(AE18:AE20)</f>
        <v>8</v>
      </c>
      <c r="AF36" s="17">
        <f t="shared" si="28"/>
        <v>0</v>
      </c>
      <c r="AG36" s="17">
        <f>SUM(AG18:AG20)</f>
        <v>1306</v>
      </c>
    </row>
    <row r="37" spans="1:33" x14ac:dyDescent="0.2">
      <c r="B37" s="59" t="s">
        <v>3</v>
      </c>
      <c r="C37" s="17">
        <f>AVERAGE(C23:C25)</f>
        <v>12.251948603106397</v>
      </c>
      <c r="D37" s="17">
        <f>AVERAGE(D23:D25)</f>
        <v>0.99175777141878851</v>
      </c>
      <c r="E37" s="17">
        <f>AVERAGE(E23:E25)</f>
        <v>0</v>
      </c>
      <c r="K37" s="59" t="s">
        <v>3</v>
      </c>
      <c r="L37" s="17">
        <f>AVERAGE(L23:L25)</f>
        <v>12.230776645220368</v>
      </c>
      <c r="M37" s="17">
        <f>AVERAGE(M23:M25)</f>
        <v>0.7603647075833152</v>
      </c>
      <c r="N37" s="17">
        <f>AVERAGE(N23:N25)</f>
        <v>0.25157232704402516</v>
      </c>
      <c r="T37" s="59" t="s">
        <v>3</v>
      </c>
      <c r="U37" s="17">
        <f>SUM(U23:U25)</f>
        <v>84</v>
      </c>
      <c r="V37" s="17">
        <f t="shared" ref="V37:X37" si="29">SUM(V23:V25)</f>
        <v>7</v>
      </c>
      <c r="W37" s="17">
        <f t="shared" si="29"/>
        <v>0</v>
      </c>
      <c r="X37" s="17">
        <f t="shared" si="29"/>
        <v>680</v>
      </c>
      <c r="AC37" s="59" t="s">
        <v>3</v>
      </c>
      <c r="AD37" s="17">
        <f>SUM(AD23:AD25)</f>
        <v>111</v>
      </c>
      <c r="AE37" s="17">
        <f t="shared" ref="AE37:AG37" si="30">SUM(AE23:AE25)</f>
        <v>7</v>
      </c>
      <c r="AF37" s="17">
        <f t="shared" si="30"/>
        <v>2</v>
      </c>
      <c r="AG37" s="17">
        <f t="shared" si="30"/>
        <v>901</v>
      </c>
    </row>
    <row r="38" spans="1:33" x14ac:dyDescent="0.2">
      <c r="B38" s="59" t="s">
        <v>4</v>
      </c>
      <c r="C38" s="17">
        <f>AVERAGE(C28:C31)</f>
        <v>16.886597696875725</v>
      </c>
      <c r="D38" s="17">
        <f t="shared" ref="D38:E38" si="31">AVERAGE(D28:D31)</f>
        <v>0.90193436135371174</v>
      </c>
      <c r="E38" s="17">
        <f t="shared" si="31"/>
        <v>9.765625E-2</v>
      </c>
      <c r="K38" s="59" t="s">
        <v>4</v>
      </c>
      <c r="L38" s="17">
        <f>AVERAGE(L28:L31)</f>
        <v>16.405384347593724</v>
      </c>
      <c r="M38" s="17">
        <f>AVERAGE(M28:M31)</f>
        <v>1.1714864702843699</v>
      </c>
      <c r="N38" s="17">
        <f>AVERAGE(N28:N31)</f>
        <v>0</v>
      </c>
      <c r="T38" s="59" t="s">
        <v>4</v>
      </c>
      <c r="U38" s="17">
        <f>SUM(U28:U31)</f>
        <v>172</v>
      </c>
      <c r="V38" s="17">
        <f t="shared" ref="V38:X38" si="32">SUM(V28:V31)</f>
        <v>9</v>
      </c>
      <c r="W38" s="17">
        <f t="shared" si="32"/>
        <v>1</v>
      </c>
      <c r="X38" s="17">
        <f t="shared" si="32"/>
        <v>980</v>
      </c>
      <c r="AC38" s="59" t="s">
        <v>4</v>
      </c>
      <c r="AD38" s="17">
        <f>SUM(AD28:AD31)</f>
        <v>206</v>
      </c>
      <c r="AE38" s="17">
        <f t="shared" ref="AE38:AF38" si="33">SUM(AE28:AE31)</f>
        <v>14</v>
      </c>
      <c r="AF38" s="17">
        <f t="shared" si="33"/>
        <v>0</v>
      </c>
      <c r="AG38" s="17">
        <f>SUM(AG28:AG31)</f>
        <v>1229</v>
      </c>
    </row>
    <row r="40" spans="1:33" x14ac:dyDescent="0.2">
      <c r="A40" s="68" t="s">
        <v>13</v>
      </c>
      <c r="B40" s="59" t="s">
        <v>181</v>
      </c>
      <c r="C40" s="60" t="s">
        <v>330</v>
      </c>
      <c r="D40" s="60" t="s">
        <v>331</v>
      </c>
      <c r="E40" s="60" t="s">
        <v>332</v>
      </c>
      <c r="J40" s="68" t="s">
        <v>13</v>
      </c>
      <c r="K40" s="59" t="s">
        <v>185</v>
      </c>
      <c r="L40" s="60" t="s">
        <v>330</v>
      </c>
      <c r="M40" s="60" t="s">
        <v>331</v>
      </c>
      <c r="N40" s="60" t="s">
        <v>332</v>
      </c>
    </row>
    <row r="41" spans="1:33" x14ac:dyDescent="0.2">
      <c r="B41" s="59" t="s">
        <v>1</v>
      </c>
      <c r="C41" s="17">
        <f>STDEV(C11:C15)</f>
        <v>6.4031878576394776</v>
      </c>
      <c r="D41" s="17">
        <f>STDEV(D11:D15)</f>
        <v>0.64301894380476809</v>
      </c>
      <c r="E41" s="17">
        <f>STDEV(E11:E15)</f>
        <v>0</v>
      </c>
      <c r="K41" s="59" t="s">
        <v>1</v>
      </c>
      <c r="L41" s="17">
        <f>STDEV(L11:L14)</f>
        <v>3.6642463423726919</v>
      </c>
      <c r="M41" s="17">
        <f t="shared" ref="M41:N41" si="34">STDEV(M11:M14)</f>
        <v>0.41112678254151519</v>
      </c>
      <c r="N41" s="17">
        <f t="shared" si="34"/>
        <v>0.13704226084717172</v>
      </c>
      <c r="T41" s="21"/>
      <c r="U41" s="110"/>
      <c r="V41" s="110"/>
      <c r="W41" s="110"/>
      <c r="X41" s="110"/>
      <c r="Y41" s="78"/>
      <c r="Z41" s="78"/>
      <c r="AA41" s="78"/>
      <c r="AB41" s="78"/>
      <c r="AC41" s="21"/>
      <c r="AD41" s="110"/>
      <c r="AE41" s="110"/>
      <c r="AF41" s="110"/>
      <c r="AG41" s="110"/>
    </row>
    <row r="42" spans="1:33" x14ac:dyDescent="0.2">
      <c r="B42" s="59" t="s">
        <v>2</v>
      </c>
      <c r="C42" s="17">
        <f>STDEV(C18:C20)</f>
        <v>5.3127310527115128</v>
      </c>
      <c r="D42" s="17">
        <f>STDEV(D18:D20)</f>
        <v>0.40161638013094297</v>
      </c>
      <c r="E42" s="17">
        <f>STDEV(E18:E20)</f>
        <v>0.23469523137789669</v>
      </c>
      <c r="K42" s="59" t="s">
        <v>2</v>
      </c>
      <c r="L42" s="17">
        <f>STDEV(L18:L20)</f>
        <v>4.74044878696251</v>
      </c>
      <c r="M42" s="17">
        <f>STDEV(M18:M20)</f>
        <v>1.1812793231501295</v>
      </c>
      <c r="N42" s="17">
        <f>STDEV(N18:N20)</f>
        <v>0</v>
      </c>
      <c r="T42" s="63"/>
      <c r="U42" s="64"/>
      <c r="V42" s="64"/>
      <c r="W42" s="64"/>
      <c r="X42" s="64"/>
      <c r="Y42" s="78"/>
      <c r="Z42" s="78"/>
      <c r="AA42" s="78"/>
      <c r="AB42" s="78"/>
      <c r="AC42" s="63"/>
      <c r="AD42" s="64"/>
      <c r="AE42" s="64"/>
      <c r="AF42" s="64"/>
      <c r="AG42" s="64"/>
    </row>
    <row r="43" spans="1:33" x14ac:dyDescent="0.2">
      <c r="B43" s="59" t="s">
        <v>3</v>
      </c>
      <c r="C43" s="17">
        <f>STDEV(C23:C25)</f>
        <v>4.438026400272479</v>
      </c>
      <c r="D43" s="17">
        <f>STDEV(D23:D25)</f>
        <v>1.3602044370517916</v>
      </c>
      <c r="E43" s="17">
        <f>STDEV(E23:E25)</f>
        <v>0</v>
      </c>
      <c r="K43" s="59" t="s">
        <v>3</v>
      </c>
      <c r="L43" s="17">
        <f>STDEV(L23:L25)</f>
        <v>1.2048485927371417</v>
      </c>
      <c r="M43" s="17">
        <f>STDEV(M23:M25)</f>
        <v>0.34363375164548937</v>
      </c>
      <c r="N43" s="17">
        <f>STDEV(N23:N25)</f>
        <v>0.43573605221858547</v>
      </c>
      <c r="T43" s="63"/>
      <c r="U43" s="64"/>
      <c r="V43" s="64"/>
      <c r="W43" s="64"/>
      <c r="X43" s="64"/>
      <c r="Y43" s="78"/>
      <c r="Z43" s="78"/>
      <c r="AA43" s="78"/>
      <c r="AB43" s="78"/>
      <c r="AC43" s="63"/>
      <c r="AD43" s="64"/>
      <c r="AE43" s="64"/>
      <c r="AF43" s="64"/>
      <c r="AG43" s="64"/>
    </row>
    <row r="44" spans="1:33" x14ac:dyDescent="0.2">
      <c r="B44" s="59" t="s">
        <v>4</v>
      </c>
      <c r="C44" s="17">
        <f>STDEV(C28:C31)</f>
        <v>11.578944051533133</v>
      </c>
      <c r="D44" s="17">
        <f t="shared" ref="D44:E44" si="35">STDEV(D28:D31)</f>
        <v>1.2891374678344549</v>
      </c>
      <c r="E44" s="17">
        <f t="shared" si="35"/>
        <v>0.1953125</v>
      </c>
      <c r="K44" s="59" t="s">
        <v>4</v>
      </c>
      <c r="L44" s="17">
        <f>STDEV(L28:L31)</f>
        <v>2.8555426921141671</v>
      </c>
      <c r="M44" s="17">
        <f t="shared" ref="M44:N44" si="36">STDEV(M28:M31)</f>
        <v>0.43745954534990317</v>
      </c>
      <c r="N44" s="17">
        <f t="shared" si="36"/>
        <v>0</v>
      </c>
      <c r="T44" s="63"/>
      <c r="U44" s="64"/>
      <c r="V44" s="64"/>
      <c r="W44" s="64"/>
      <c r="X44" s="64"/>
      <c r="Y44" s="78"/>
      <c r="Z44" s="78"/>
      <c r="AA44" s="78"/>
      <c r="AB44" s="78"/>
      <c r="AC44" s="63"/>
      <c r="AD44" s="64"/>
      <c r="AE44" s="64"/>
      <c r="AF44" s="64"/>
      <c r="AG44" s="64"/>
    </row>
    <row r="45" spans="1:33" x14ac:dyDescent="0.2">
      <c r="T45" s="63"/>
      <c r="U45" s="64"/>
      <c r="V45" s="64"/>
      <c r="W45" s="64"/>
      <c r="X45" s="64"/>
      <c r="Y45" s="78"/>
      <c r="Z45" s="78"/>
      <c r="AA45" s="78"/>
      <c r="AB45" s="78"/>
      <c r="AC45" s="63"/>
      <c r="AD45" s="64"/>
      <c r="AE45" s="64"/>
      <c r="AF45" s="64"/>
      <c r="AG45" s="64"/>
    </row>
    <row r="46" spans="1:33" x14ac:dyDescent="0.2">
      <c r="A46" s="68" t="s">
        <v>14</v>
      </c>
      <c r="B46" s="59" t="s">
        <v>181</v>
      </c>
      <c r="C46" s="60" t="s">
        <v>330</v>
      </c>
      <c r="D46" s="60" t="s">
        <v>331</v>
      </c>
      <c r="E46" s="60" t="s">
        <v>332</v>
      </c>
      <c r="J46" s="68" t="s">
        <v>14</v>
      </c>
      <c r="K46" s="59" t="s">
        <v>185</v>
      </c>
      <c r="L46" s="60" t="s">
        <v>330</v>
      </c>
      <c r="M46" s="60" t="s">
        <v>331</v>
      </c>
      <c r="N46" s="60" t="s">
        <v>332</v>
      </c>
      <c r="T46" s="63"/>
      <c r="U46" s="64"/>
      <c r="V46" s="64"/>
      <c r="W46" s="64"/>
      <c r="X46" s="64"/>
      <c r="Y46" s="78"/>
      <c r="Z46" s="78"/>
      <c r="AA46" s="78"/>
      <c r="AB46" s="78"/>
      <c r="AC46" s="63"/>
      <c r="AD46" s="64"/>
      <c r="AE46" s="64"/>
      <c r="AF46" s="64"/>
      <c r="AG46" s="64"/>
    </row>
    <row r="47" spans="1:33" x14ac:dyDescent="0.2">
      <c r="B47" s="59" t="s">
        <v>1</v>
      </c>
      <c r="C47" s="70">
        <f>C41/(5^0.5)</f>
        <v>2.8635926644766236</v>
      </c>
      <c r="D47" s="70">
        <f t="shared" ref="D47:E47" si="37">D41/(5^0.5)</f>
        <v>0.28756681383351573</v>
      </c>
      <c r="E47" s="70">
        <f t="shared" si="37"/>
        <v>0</v>
      </c>
      <c r="K47" s="59" t="s">
        <v>1</v>
      </c>
      <c r="L47" s="70">
        <f>L41/(4^0.5)</f>
        <v>1.8321231711863459</v>
      </c>
      <c r="M47" s="70">
        <f t="shared" ref="M47:N47" si="38">M41/(4^0.5)</f>
        <v>0.20556339127075759</v>
      </c>
      <c r="N47" s="70">
        <f t="shared" si="38"/>
        <v>6.852113042358586E-2</v>
      </c>
      <c r="T47" s="64"/>
      <c r="U47" s="64"/>
      <c r="V47" s="64"/>
      <c r="W47" s="64"/>
      <c r="X47" s="64"/>
      <c r="Y47" s="78"/>
      <c r="Z47" s="78"/>
      <c r="AA47" s="78"/>
      <c r="AB47" s="78"/>
      <c r="AC47" s="64"/>
      <c r="AD47" s="64"/>
      <c r="AE47" s="64"/>
      <c r="AF47" s="64"/>
      <c r="AG47" s="64"/>
    </row>
    <row r="48" spans="1:33" x14ac:dyDescent="0.2">
      <c r="B48" s="59" t="s">
        <v>2</v>
      </c>
      <c r="C48" s="70">
        <f>C42/(3^0.5)</f>
        <v>3.0673067034150758</v>
      </c>
      <c r="D48" s="70">
        <f t="shared" ref="D48:E49" si="39">D42/(3^0.5)</f>
        <v>0.23187332517956299</v>
      </c>
      <c r="E48" s="70">
        <f t="shared" si="39"/>
        <v>0.13550135501355018</v>
      </c>
      <c r="K48" s="59" t="s">
        <v>2</v>
      </c>
      <c r="L48" s="70">
        <f>L42/(3^0.5)</f>
        <v>2.7368993832324402</v>
      </c>
      <c r="M48" s="70">
        <f t="shared" ref="M48:N49" si="40">M42/(3^0.5)</f>
        <v>0.68201193520886627</v>
      </c>
      <c r="N48" s="70">
        <f>N42/(3^0.5)</f>
        <v>0</v>
      </c>
      <c r="T48" s="21"/>
      <c r="U48" s="64"/>
      <c r="V48" s="64"/>
      <c r="W48" s="64"/>
      <c r="X48" s="64"/>
      <c r="Y48" s="78"/>
      <c r="Z48" s="78"/>
      <c r="AA48" s="78"/>
      <c r="AB48" s="78"/>
      <c r="AC48" s="21"/>
      <c r="AD48" s="64"/>
      <c r="AE48" s="64"/>
      <c r="AF48" s="64"/>
      <c r="AG48" s="64"/>
    </row>
    <row r="49" spans="1:33" x14ac:dyDescent="0.2">
      <c r="B49" s="59" t="s">
        <v>3</v>
      </c>
      <c r="C49" s="70">
        <f>C43/(3^0.5)</f>
        <v>2.5622957368679815</v>
      </c>
      <c r="D49" s="70">
        <f t="shared" si="39"/>
        <v>0.78531439788477531</v>
      </c>
      <c r="E49" s="70">
        <f t="shared" si="39"/>
        <v>0</v>
      </c>
      <c r="K49" s="59" t="s">
        <v>3</v>
      </c>
      <c r="L49" s="70">
        <f>L43/(3^0.5)</f>
        <v>0.69561965934953063</v>
      </c>
      <c r="M49" s="70">
        <f t="shared" si="40"/>
        <v>0.19839703901516431</v>
      </c>
      <c r="N49" s="70">
        <f t="shared" si="40"/>
        <v>0.25157232704402516</v>
      </c>
      <c r="T49" s="21"/>
      <c r="U49" s="64"/>
      <c r="V49" s="64"/>
      <c r="W49" s="64"/>
      <c r="X49" s="64"/>
      <c r="Y49" s="78"/>
      <c r="Z49" s="78"/>
      <c r="AA49" s="78"/>
      <c r="AB49" s="78"/>
      <c r="AC49" s="21"/>
      <c r="AD49" s="64"/>
      <c r="AE49" s="64"/>
      <c r="AF49" s="64"/>
      <c r="AG49" s="64"/>
    </row>
    <row r="50" spans="1:33" x14ac:dyDescent="0.2">
      <c r="B50" s="59" t="s">
        <v>4</v>
      </c>
      <c r="C50" s="70">
        <f>C44/(4^0.5)</f>
        <v>5.7894720257665666</v>
      </c>
      <c r="D50" s="70">
        <f t="shared" ref="D50:E50" si="41">D44/(4^0.5)</f>
        <v>0.64456873391722747</v>
      </c>
      <c r="E50" s="70">
        <f t="shared" si="41"/>
        <v>9.765625E-2</v>
      </c>
      <c r="K50" s="59" t="s">
        <v>4</v>
      </c>
      <c r="L50" s="70">
        <f>L44/(4^0.5)</f>
        <v>1.4277713460570836</v>
      </c>
      <c r="M50" s="70">
        <f t="shared" ref="M50:N50" si="42">M44/(4^0.5)</f>
        <v>0.21872977267495158</v>
      </c>
      <c r="N50" s="70">
        <f t="shared" si="42"/>
        <v>0</v>
      </c>
      <c r="T50" s="21"/>
      <c r="U50" s="64"/>
      <c r="V50" s="64"/>
      <c r="W50" s="64"/>
      <c r="X50" s="64"/>
      <c r="Y50" s="78"/>
      <c r="Z50" s="78"/>
      <c r="AA50" s="78"/>
      <c r="AB50" s="78"/>
      <c r="AC50" s="21"/>
      <c r="AD50" s="64"/>
      <c r="AE50" s="64"/>
      <c r="AF50" s="64"/>
      <c r="AG50" s="64"/>
    </row>
    <row r="51" spans="1:33" x14ac:dyDescent="0.2">
      <c r="B51" s="9"/>
      <c r="C51" s="9"/>
      <c r="D51" s="9"/>
      <c r="E51" s="9"/>
      <c r="K51" s="9"/>
      <c r="L51" s="9"/>
      <c r="M51" s="9"/>
      <c r="N51" s="9"/>
      <c r="T51" s="68"/>
      <c r="U51" s="68"/>
      <c r="V51" s="68"/>
      <c r="W51" s="68"/>
      <c r="X51" s="68"/>
      <c r="Y51" s="78"/>
      <c r="Z51" s="78"/>
      <c r="AA51" s="78"/>
      <c r="AB51" s="78"/>
      <c r="AC51" s="68"/>
      <c r="AD51" s="68"/>
      <c r="AE51" s="68"/>
      <c r="AF51" s="68"/>
      <c r="AG51" s="68"/>
    </row>
    <row r="52" spans="1:33" x14ac:dyDescent="0.2">
      <c r="A52" s="9" t="s">
        <v>206</v>
      </c>
      <c r="B52" s="59" t="s">
        <v>181</v>
      </c>
      <c r="C52" s="60" t="s">
        <v>330</v>
      </c>
      <c r="D52" s="60" t="s">
        <v>331</v>
      </c>
      <c r="E52" s="60" t="s">
        <v>332</v>
      </c>
      <c r="J52" s="9" t="s">
        <v>206</v>
      </c>
      <c r="K52" s="59" t="s">
        <v>185</v>
      </c>
      <c r="L52" s="60" t="s">
        <v>330</v>
      </c>
      <c r="M52" s="60" t="s">
        <v>331</v>
      </c>
      <c r="N52" s="60" t="s">
        <v>332</v>
      </c>
      <c r="T52" s="21"/>
      <c r="U52" s="64"/>
      <c r="V52" s="64"/>
      <c r="W52" s="64"/>
      <c r="X52" s="64"/>
      <c r="Y52" s="78"/>
      <c r="Z52" s="78"/>
      <c r="AA52" s="78"/>
      <c r="AB52" s="78"/>
      <c r="AC52" s="21"/>
      <c r="AD52" s="64"/>
      <c r="AE52" s="64"/>
      <c r="AF52" s="64"/>
      <c r="AG52" s="64"/>
    </row>
    <row r="53" spans="1:33" x14ac:dyDescent="0.2">
      <c r="B53" s="59" t="s">
        <v>6</v>
      </c>
      <c r="C53" s="111">
        <v>0.55589999999999995</v>
      </c>
      <c r="D53" s="74">
        <v>0.99990000000000001</v>
      </c>
      <c r="E53" s="72">
        <v>0.46920000000000001</v>
      </c>
      <c r="K53" s="59" t="s">
        <v>6</v>
      </c>
      <c r="L53" s="74">
        <v>0.59240000000000004</v>
      </c>
      <c r="M53" s="74">
        <v>0.83789999999999998</v>
      </c>
      <c r="N53" s="111">
        <v>0.81899999999999995</v>
      </c>
      <c r="T53" s="21"/>
      <c r="U53" s="64"/>
      <c r="V53" s="64"/>
      <c r="W53" s="64"/>
      <c r="X53" s="64"/>
      <c r="Y53" s="78"/>
      <c r="Z53" s="78"/>
      <c r="AA53" s="78"/>
      <c r="AB53" s="78"/>
      <c r="AC53" s="21"/>
      <c r="AD53" s="64"/>
      <c r="AE53" s="64"/>
      <c r="AF53" s="64"/>
      <c r="AG53" s="64"/>
    </row>
    <row r="54" spans="1:33" x14ac:dyDescent="0.2">
      <c r="B54" s="59" t="s">
        <v>7</v>
      </c>
      <c r="C54" s="72">
        <v>0.83050000000000002</v>
      </c>
      <c r="D54" s="74">
        <v>0.73429999999999995</v>
      </c>
      <c r="E54" s="111" t="s">
        <v>339</v>
      </c>
      <c r="K54" s="59" t="s">
        <v>7</v>
      </c>
      <c r="L54" s="72">
        <v>6.2300000000000001E-2</v>
      </c>
      <c r="M54" s="74">
        <v>0.74629999999999996</v>
      </c>
      <c r="N54" s="73">
        <v>0.74409999999999998</v>
      </c>
      <c r="P54" s="112"/>
      <c r="Q54" s="112"/>
      <c r="R54" s="112"/>
      <c r="S54" s="112"/>
      <c r="T54" s="21"/>
      <c r="U54" s="64"/>
      <c r="V54" s="64"/>
      <c r="W54" s="64"/>
      <c r="X54" s="64"/>
      <c r="Y54" s="78"/>
      <c r="Z54" s="78"/>
      <c r="AA54" s="78"/>
      <c r="AB54" s="78"/>
      <c r="AC54" s="21"/>
      <c r="AD54" s="64"/>
      <c r="AE54" s="64"/>
      <c r="AF54" s="64"/>
      <c r="AG54" s="64"/>
    </row>
    <row r="55" spans="1:33" x14ac:dyDescent="0.2">
      <c r="B55" s="59" t="s">
        <v>8</v>
      </c>
      <c r="C55" s="72">
        <v>0.99909999999999999</v>
      </c>
      <c r="D55" s="74">
        <v>0.77010000000000001</v>
      </c>
      <c r="E55" s="72">
        <v>0.64959999999999996</v>
      </c>
      <c r="F55" s="86"/>
      <c r="G55" s="86"/>
      <c r="H55" s="113"/>
      <c r="K55" s="59" t="s">
        <v>8</v>
      </c>
      <c r="L55" s="72">
        <v>2.5000000000000001E-3</v>
      </c>
      <c r="M55" s="74">
        <v>0.2266</v>
      </c>
      <c r="N55" s="72">
        <v>0.7853</v>
      </c>
      <c r="P55" s="112"/>
      <c r="Q55" s="112"/>
      <c r="R55" s="112"/>
      <c r="S55" s="114"/>
      <c r="T55" s="68"/>
      <c r="U55" s="68"/>
      <c r="V55" s="68"/>
      <c r="W55" s="68"/>
      <c r="X55" s="68"/>
      <c r="Y55" s="78"/>
      <c r="Z55" s="78"/>
      <c r="AA55" s="78"/>
      <c r="AB55" s="78"/>
      <c r="AC55" s="68"/>
      <c r="AD55" s="68"/>
      <c r="AE55" s="68"/>
      <c r="AF55" s="68"/>
      <c r="AG55" s="68"/>
    </row>
    <row r="56" spans="1:33" x14ac:dyDescent="0.2">
      <c r="B56" s="9"/>
      <c r="C56" s="9"/>
      <c r="D56" s="9"/>
      <c r="E56" s="9"/>
      <c r="F56" s="86"/>
      <c r="G56" s="86"/>
      <c r="H56" s="86"/>
      <c r="K56" s="9"/>
      <c r="L56" s="9"/>
      <c r="M56" s="9"/>
      <c r="N56" s="9"/>
      <c r="P56" s="112"/>
      <c r="Q56" s="112"/>
      <c r="R56" s="112"/>
      <c r="S56" s="112"/>
      <c r="T56" s="21"/>
      <c r="U56" s="64"/>
      <c r="V56" s="64"/>
      <c r="W56" s="64"/>
      <c r="X56" s="64"/>
      <c r="Y56" s="78"/>
      <c r="Z56" s="78"/>
      <c r="AA56" s="78"/>
      <c r="AB56" s="78"/>
      <c r="AC56" s="21"/>
      <c r="AD56" s="64"/>
      <c r="AE56" s="64"/>
      <c r="AF56" s="64"/>
      <c r="AG56" s="64"/>
    </row>
    <row r="57" spans="1:33" x14ac:dyDescent="0.2">
      <c r="B57" s="9"/>
      <c r="C57" s="9"/>
      <c r="D57" s="9"/>
      <c r="E57" s="9"/>
      <c r="F57" s="86"/>
      <c r="G57" s="86"/>
      <c r="H57" s="86"/>
      <c r="K57" s="9"/>
      <c r="L57" s="9"/>
      <c r="M57" s="9"/>
      <c r="N57" s="9"/>
      <c r="P57" s="66"/>
      <c r="Q57" s="66"/>
      <c r="R57" s="66"/>
      <c r="S57" s="66"/>
      <c r="T57" s="21"/>
      <c r="U57" s="64"/>
      <c r="V57" s="64"/>
      <c r="W57" s="64"/>
      <c r="X57" s="64"/>
      <c r="Y57" s="78"/>
      <c r="Z57" s="78"/>
      <c r="AA57" s="78"/>
      <c r="AB57" s="78"/>
      <c r="AC57" s="21"/>
      <c r="AD57" s="64"/>
      <c r="AE57" s="64"/>
      <c r="AF57" s="64"/>
      <c r="AG57" s="64"/>
    </row>
    <row r="58" spans="1:33" ht="18" x14ac:dyDescent="0.2">
      <c r="A58" s="19" t="s">
        <v>52</v>
      </c>
      <c r="B58" s="20"/>
      <c r="C58" s="20"/>
      <c r="D58" s="20"/>
      <c r="E58" s="20"/>
      <c r="F58" s="86"/>
      <c r="G58" s="86"/>
      <c r="H58" s="86"/>
      <c r="J58" s="19" t="s">
        <v>52</v>
      </c>
      <c r="K58" s="20"/>
      <c r="L58" s="20"/>
      <c r="M58" s="20"/>
      <c r="N58" s="20"/>
      <c r="T58" s="21"/>
      <c r="U58" s="64"/>
      <c r="V58" s="64"/>
      <c r="W58" s="64"/>
      <c r="X58" s="64"/>
      <c r="Y58" s="78"/>
      <c r="Z58" s="78"/>
      <c r="AA58" s="78"/>
      <c r="AB58" s="78"/>
      <c r="AC58" s="21"/>
      <c r="AD58" s="64"/>
      <c r="AE58" s="64"/>
      <c r="AF58" s="64"/>
      <c r="AG58" s="64"/>
    </row>
    <row r="59" spans="1:33" x14ac:dyDescent="0.2">
      <c r="T59" s="21"/>
      <c r="U59" s="64"/>
      <c r="V59" s="64"/>
      <c r="W59" s="64"/>
      <c r="X59" s="64"/>
      <c r="Y59" s="78"/>
      <c r="Z59" s="78"/>
      <c r="AA59" s="78"/>
      <c r="AB59" s="78"/>
      <c r="AC59" s="21"/>
      <c r="AD59" s="64"/>
      <c r="AE59" s="64"/>
      <c r="AF59" s="64"/>
      <c r="AG59" s="64"/>
    </row>
    <row r="60" spans="1:33" x14ac:dyDescent="0.2">
      <c r="A60" s="52" t="s">
        <v>340</v>
      </c>
      <c r="B60" s="15" t="s">
        <v>53</v>
      </c>
      <c r="C60" s="1"/>
      <c r="J60" s="52" t="s">
        <v>341</v>
      </c>
      <c r="K60" s="15" t="s">
        <v>53</v>
      </c>
      <c r="L60" s="1"/>
      <c r="T60" s="78"/>
      <c r="U60" s="78"/>
      <c r="V60" s="78"/>
      <c r="W60" s="78"/>
      <c r="X60" s="78"/>
      <c r="Y60" s="78"/>
      <c r="Z60" s="78"/>
      <c r="AA60" s="78"/>
      <c r="AB60" s="78"/>
      <c r="AC60" s="78"/>
      <c r="AD60" s="78"/>
      <c r="AE60" s="78"/>
      <c r="AF60" s="78"/>
      <c r="AG60" s="78"/>
    </row>
    <row r="61" spans="1:33" x14ac:dyDescent="0.2">
      <c r="B61" s="2" t="s">
        <v>0</v>
      </c>
      <c r="E61" s="1">
        <v>0.67659999999999998</v>
      </c>
      <c r="K61" s="2" t="s">
        <v>0</v>
      </c>
      <c r="N61">
        <v>8.0980000000000008</v>
      </c>
      <c r="T61" s="78"/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78"/>
    </row>
    <row r="62" spans="1:33" x14ac:dyDescent="0.2">
      <c r="B62" s="2" t="s">
        <v>36</v>
      </c>
      <c r="E62" s="1">
        <v>0.58430000000000004</v>
      </c>
      <c r="K62" s="2" t="s">
        <v>36</v>
      </c>
      <c r="N62">
        <v>5.0000000000000001E-3</v>
      </c>
      <c r="T62" s="21"/>
      <c r="U62" s="68"/>
      <c r="V62" s="68"/>
      <c r="W62" s="68"/>
      <c r="X62" s="68"/>
      <c r="Y62" s="78"/>
      <c r="Z62" s="78"/>
      <c r="AA62" s="78"/>
      <c r="AB62" s="78"/>
      <c r="AC62" s="21"/>
      <c r="AD62" s="68"/>
      <c r="AE62" s="68"/>
      <c r="AF62" s="68"/>
      <c r="AG62" s="68"/>
    </row>
    <row r="63" spans="1:33" x14ac:dyDescent="0.2">
      <c r="B63" s="2" t="s">
        <v>37</v>
      </c>
      <c r="E63" s="46" t="s">
        <v>9</v>
      </c>
      <c r="K63" s="2" t="s">
        <v>37</v>
      </c>
      <c r="N63" s="95" t="s">
        <v>11</v>
      </c>
      <c r="T63" s="21"/>
      <c r="U63" s="68"/>
      <c r="V63" s="68"/>
      <c r="W63" s="68"/>
      <c r="X63" s="68"/>
      <c r="Y63" s="78"/>
      <c r="Z63" s="78"/>
      <c r="AA63" s="78"/>
      <c r="AB63" s="78"/>
      <c r="AC63" s="21"/>
      <c r="AD63" s="68"/>
      <c r="AE63" s="68"/>
      <c r="AF63" s="68"/>
      <c r="AG63" s="68"/>
    </row>
    <row r="64" spans="1:33" x14ac:dyDescent="0.2">
      <c r="B64" s="2" t="s">
        <v>54</v>
      </c>
      <c r="E64" s="46" t="s">
        <v>49</v>
      </c>
      <c r="K64" s="2" t="s">
        <v>54</v>
      </c>
      <c r="N64" s="95" t="s">
        <v>41</v>
      </c>
      <c r="T64" s="21"/>
      <c r="U64" s="68"/>
      <c r="V64" s="68"/>
      <c r="W64" s="68"/>
      <c r="X64" s="68"/>
      <c r="Y64" s="78"/>
      <c r="Z64" s="78"/>
      <c r="AA64" s="78"/>
      <c r="AB64" s="78"/>
      <c r="AC64" s="21"/>
      <c r="AD64" s="68"/>
      <c r="AE64" s="68"/>
      <c r="AF64" s="68"/>
      <c r="AG64" s="68"/>
    </row>
    <row r="65" spans="1:33" x14ac:dyDescent="0.2">
      <c r="B65" s="2" t="s">
        <v>55</v>
      </c>
      <c r="E65" s="1">
        <v>0.15579999999999999</v>
      </c>
      <c r="K65" s="2" t="s">
        <v>55</v>
      </c>
      <c r="N65">
        <v>0.70840000000000003</v>
      </c>
      <c r="T65" s="21"/>
      <c r="U65" s="68"/>
      <c r="V65" s="68"/>
      <c r="W65" s="68"/>
      <c r="X65" s="68"/>
      <c r="Y65" s="78"/>
      <c r="Z65" s="78"/>
      <c r="AA65" s="78"/>
      <c r="AB65" s="78"/>
      <c r="AC65" s="21"/>
      <c r="AD65" s="68"/>
      <c r="AE65" s="68"/>
      <c r="AF65" s="68"/>
      <c r="AG65" s="68"/>
    </row>
    <row r="67" spans="1:33" x14ac:dyDescent="0.2">
      <c r="B67" s="3" t="s">
        <v>44</v>
      </c>
      <c r="C67" s="76"/>
      <c r="D67" s="76"/>
      <c r="E67" s="76"/>
      <c r="F67" s="76"/>
      <c r="G67" s="76"/>
      <c r="K67" s="3" t="s">
        <v>44</v>
      </c>
      <c r="L67" s="76"/>
      <c r="M67" s="76"/>
      <c r="N67" s="76"/>
      <c r="O67" s="76"/>
      <c r="P67" s="76"/>
      <c r="Q67" s="76"/>
    </row>
    <row r="68" spans="1:33" x14ac:dyDescent="0.2">
      <c r="B68" s="76"/>
      <c r="C68" s="16" t="s">
        <v>45</v>
      </c>
      <c r="D68" s="16" t="s">
        <v>46</v>
      </c>
      <c r="E68" s="16" t="s">
        <v>47</v>
      </c>
      <c r="F68" s="16" t="s">
        <v>48</v>
      </c>
      <c r="G68" s="16" t="s">
        <v>5</v>
      </c>
      <c r="K68" s="76"/>
      <c r="L68" s="16" t="s">
        <v>45</v>
      </c>
      <c r="M68" s="16" t="s">
        <v>46</v>
      </c>
      <c r="N68" s="16" t="s">
        <v>47</v>
      </c>
      <c r="O68" s="16" t="s">
        <v>48</v>
      </c>
      <c r="P68" s="16" t="s">
        <v>5</v>
      </c>
      <c r="Q68" s="16"/>
    </row>
    <row r="69" spans="1:33" x14ac:dyDescent="0.2">
      <c r="B69" s="2" t="s">
        <v>6</v>
      </c>
      <c r="C69" s="1">
        <v>6.5810000000000004</v>
      </c>
      <c r="D69" s="1" t="s">
        <v>365</v>
      </c>
      <c r="E69" s="1" t="s">
        <v>49</v>
      </c>
      <c r="F69" s="1" t="s">
        <v>9</v>
      </c>
      <c r="G69" s="1">
        <v>0.55589999999999995</v>
      </c>
      <c r="K69" s="2" t="s">
        <v>6</v>
      </c>
      <c r="L69" s="1">
        <v>-3.0720000000000001</v>
      </c>
      <c r="M69" s="1" t="s">
        <v>366</v>
      </c>
      <c r="N69" s="1" t="s">
        <v>49</v>
      </c>
      <c r="O69" s="1" t="s">
        <v>9</v>
      </c>
      <c r="P69" s="1">
        <v>0.59240000000000004</v>
      </c>
      <c r="Q69" s="1"/>
    </row>
    <row r="70" spans="1:33" x14ac:dyDescent="0.2">
      <c r="B70" s="2" t="s">
        <v>7</v>
      </c>
      <c r="C70" s="1">
        <v>4.0640000000000001</v>
      </c>
      <c r="D70" s="1" t="s">
        <v>367</v>
      </c>
      <c r="E70" s="1" t="s">
        <v>49</v>
      </c>
      <c r="F70" s="1" t="s">
        <v>9</v>
      </c>
      <c r="G70" s="1">
        <v>0.83050000000000002</v>
      </c>
      <c r="K70" s="2" t="s">
        <v>7</v>
      </c>
      <c r="L70" s="1">
        <v>-6.9980000000000002</v>
      </c>
      <c r="M70" s="1" t="s">
        <v>368</v>
      </c>
      <c r="N70" s="1" t="s">
        <v>49</v>
      </c>
      <c r="O70" s="1" t="s">
        <v>9</v>
      </c>
      <c r="P70" s="1">
        <v>6.2300000000000001E-2</v>
      </c>
      <c r="Q70" s="1"/>
    </row>
    <row r="71" spans="1:33" x14ac:dyDescent="0.2">
      <c r="B71" s="2" t="s">
        <v>8</v>
      </c>
      <c r="C71" s="1">
        <v>-0.57099999999999995</v>
      </c>
      <c r="D71" s="1" t="s">
        <v>369</v>
      </c>
      <c r="E71" s="1" t="s">
        <v>49</v>
      </c>
      <c r="F71" s="1" t="s">
        <v>9</v>
      </c>
      <c r="G71" s="1">
        <v>0.99909999999999999</v>
      </c>
      <c r="K71" s="2" t="s">
        <v>8</v>
      </c>
      <c r="L71" s="1">
        <v>-11.17</v>
      </c>
      <c r="M71" s="1" t="s">
        <v>370</v>
      </c>
      <c r="N71" s="1" t="s">
        <v>41</v>
      </c>
      <c r="O71" s="1" t="s">
        <v>11</v>
      </c>
      <c r="P71" s="1">
        <v>2.5000000000000001E-3</v>
      </c>
      <c r="Q71" s="1"/>
    </row>
    <row r="74" spans="1:33" x14ac:dyDescent="0.2">
      <c r="A74" s="52" t="s">
        <v>348</v>
      </c>
      <c r="B74" s="15" t="s">
        <v>53</v>
      </c>
      <c r="C74" s="1"/>
      <c r="J74" s="52" t="s">
        <v>349</v>
      </c>
      <c r="K74" s="15" t="s">
        <v>53</v>
      </c>
      <c r="L74" s="1"/>
    </row>
    <row r="75" spans="1:33" x14ac:dyDescent="0.2">
      <c r="B75" s="2" t="s">
        <v>0</v>
      </c>
      <c r="E75" s="1">
        <v>0.41510000000000002</v>
      </c>
      <c r="K75" s="2" t="s">
        <v>0</v>
      </c>
      <c r="N75">
        <v>1.1220000000000001</v>
      </c>
    </row>
    <row r="76" spans="1:33" x14ac:dyDescent="0.2">
      <c r="B76" s="2" t="s">
        <v>36</v>
      </c>
      <c r="E76" s="1">
        <v>0.74560000000000004</v>
      </c>
      <c r="K76" s="2" t="s">
        <v>36</v>
      </c>
      <c r="N76">
        <v>0.38590000000000002</v>
      </c>
    </row>
    <row r="77" spans="1:33" x14ac:dyDescent="0.2">
      <c r="B77" s="2" t="s">
        <v>37</v>
      </c>
      <c r="E77" s="46" t="s">
        <v>9</v>
      </c>
      <c r="K77" s="2" t="s">
        <v>37</v>
      </c>
      <c r="N77" s="95" t="s">
        <v>9</v>
      </c>
    </row>
    <row r="78" spans="1:33" x14ac:dyDescent="0.2">
      <c r="B78" s="2" t="s">
        <v>54</v>
      </c>
      <c r="E78" s="46" t="s">
        <v>49</v>
      </c>
      <c r="K78" s="2" t="s">
        <v>54</v>
      </c>
      <c r="N78" s="95" t="s">
        <v>49</v>
      </c>
    </row>
    <row r="79" spans="1:33" x14ac:dyDescent="0.2">
      <c r="B79" s="2" t="s">
        <v>55</v>
      </c>
      <c r="E79" s="1">
        <v>0.1017</v>
      </c>
      <c r="K79" s="2" t="s">
        <v>55</v>
      </c>
      <c r="N79">
        <v>0.25190000000000001</v>
      </c>
    </row>
    <row r="81" spans="1:17" x14ac:dyDescent="0.2">
      <c r="B81" s="3" t="s">
        <v>44</v>
      </c>
      <c r="C81" s="76"/>
      <c r="D81" s="76"/>
      <c r="E81" s="76"/>
      <c r="F81" s="76"/>
      <c r="G81" s="76"/>
      <c r="K81" s="3" t="s">
        <v>44</v>
      </c>
      <c r="L81" s="76"/>
      <c r="M81" s="76"/>
      <c r="N81" s="76"/>
      <c r="O81" s="76"/>
      <c r="P81" s="76"/>
      <c r="Q81" s="76"/>
    </row>
    <row r="82" spans="1:17" x14ac:dyDescent="0.2">
      <c r="B82" s="76"/>
      <c r="C82" s="16" t="s">
        <v>45</v>
      </c>
      <c r="D82" s="16" t="s">
        <v>46</v>
      </c>
      <c r="E82" s="16" t="s">
        <v>47</v>
      </c>
      <c r="F82" s="16" t="s">
        <v>48</v>
      </c>
      <c r="G82" s="16" t="s">
        <v>5</v>
      </c>
      <c r="K82" s="76"/>
      <c r="L82" s="16" t="s">
        <v>45</v>
      </c>
      <c r="M82" s="16" t="s">
        <v>46</v>
      </c>
      <c r="N82" s="16" t="s">
        <v>47</v>
      </c>
      <c r="O82" s="16" t="s">
        <v>48</v>
      </c>
      <c r="P82" s="16" t="s">
        <v>5</v>
      </c>
      <c r="Q82" s="16"/>
    </row>
    <row r="83" spans="1:17" x14ac:dyDescent="0.2">
      <c r="B83" s="2" t="s">
        <v>6</v>
      </c>
      <c r="C83" s="1">
        <v>-4.5330000000000002E-2</v>
      </c>
      <c r="D83" s="1" t="s">
        <v>371</v>
      </c>
      <c r="E83" s="1" t="s">
        <v>49</v>
      </c>
      <c r="F83" s="1" t="s">
        <v>9</v>
      </c>
      <c r="G83" s="1">
        <v>0.99990000000000001</v>
      </c>
      <c r="K83" s="2" t="s">
        <v>6</v>
      </c>
      <c r="L83" s="1">
        <v>-0.33829999999999999</v>
      </c>
      <c r="M83" s="1" t="s">
        <v>372</v>
      </c>
      <c r="N83" s="1" t="s">
        <v>49</v>
      </c>
      <c r="O83" s="1" t="s">
        <v>9</v>
      </c>
      <c r="P83" s="1">
        <v>0.83789999999999998</v>
      </c>
      <c r="Q83" s="1"/>
    </row>
    <row r="84" spans="1:17" x14ac:dyDescent="0.2">
      <c r="B84" s="2" t="s">
        <v>7</v>
      </c>
      <c r="C84" s="1">
        <v>-0.63200000000000001</v>
      </c>
      <c r="D84" s="1" t="s">
        <v>373</v>
      </c>
      <c r="E84" s="1" t="s">
        <v>49</v>
      </c>
      <c r="F84" s="1" t="s">
        <v>9</v>
      </c>
      <c r="G84" s="1">
        <v>0.73429999999999995</v>
      </c>
      <c r="K84" s="2" t="s">
        <v>7</v>
      </c>
      <c r="L84" s="1">
        <v>-0.41499999999999998</v>
      </c>
      <c r="M84" s="1" t="s">
        <v>374</v>
      </c>
      <c r="N84" s="1" t="s">
        <v>49</v>
      </c>
      <c r="O84" s="1" t="s">
        <v>9</v>
      </c>
      <c r="P84" s="1">
        <v>0.74629999999999996</v>
      </c>
      <c r="Q84" s="1"/>
    </row>
    <row r="85" spans="1:17" x14ac:dyDescent="0.2">
      <c r="B85" s="2" t="s">
        <v>8</v>
      </c>
      <c r="C85" s="1">
        <v>-0.54200000000000004</v>
      </c>
      <c r="D85" s="1" t="s">
        <v>375</v>
      </c>
      <c r="E85" s="1" t="s">
        <v>49</v>
      </c>
      <c r="F85" s="1" t="s">
        <v>9</v>
      </c>
      <c r="G85" s="1">
        <v>0.77010000000000001</v>
      </c>
      <c r="K85" s="2" t="s">
        <v>8</v>
      </c>
      <c r="L85" s="1">
        <v>-0.82750000000000001</v>
      </c>
      <c r="M85" s="1" t="s">
        <v>376</v>
      </c>
      <c r="N85" s="1" t="s">
        <v>49</v>
      </c>
      <c r="O85" s="1" t="s">
        <v>9</v>
      </c>
      <c r="P85" s="1">
        <v>0.2266</v>
      </c>
      <c r="Q85" s="1"/>
    </row>
    <row r="88" spans="1:17" x14ac:dyDescent="0.2">
      <c r="A88" s="52" t="s">
        <v>356</v>
      </c>
      <c r="B88" s="15" t="s">
        <v>53</v>
      </c>
      <c r="C88" s="1"/>
      <c r="J88" s="52" t="s">
        <v>357</v>
      </c>
      <c r="K88" s="15" t="s">
        <v>53</v>
      </c>
      <c r="L88" s="1"/>
    </row>
    <row r="89" spans="1:17" x14ac:dyDescent="0.2">
      <c r="B89" s="2" t="s">
        <v>0</v>
      </c>
      <c r="E89" s="1">
        <v>0.83330000000000004</v>
      </c>
      <c r="K89" s="2" t="s">
        <v>0</v>
      </c>
      <c r="N89">
        <v>1.05</v>
      </c>
    </row>
    <row r="90" spans="1:17" x14ac:dyDescent="0.2">
      <c r="B90" s="2" t="s">
        <v>36</v>
      </c>
      <c r="E90" s="1">
        <v>0.50309999999999999</v>
      </c>
      <c r="K90" s="2" t="s">
        <v>36</v>
      </c>
      <c r="N90">
        <v>0.41260000000000002</v>
      </c>
    </row>
    <row r="91" spans="1:17" x14ac:dyDescent="0.2">
      <c r="B91" s="2" t="s">
        <v>37</v>
      </c>
      <c r="E91" s="46" t="s">
        <v>9</v>
      </c>
      <c r="K91" s="2" t="s">
        <v>37</v>
      </c>
      <c r="N91" s="95" t="s">
        <v>9</v>
      </c>
    </row>
    <row r="92" spans="1:17" x14ac:dyDescent="0.2">
      <c r="B92" s="2" t="s">
        <v>54</v>
      </c>
      <c r="E92" s="46" t="s">
        <v>49</v>
      </c>
      <c r="K92" s="2" t="s">
        <v>54</v>
      </c>
      <c r="N92" s="95" t="s">
        <v>49</v>
      </c>
    </row>
    <row r="93" spans="1:17" x14ac:dyDescent="0.2">
      <c r="B93" s="2" t="s">
        <v>55</v>
      </c>
      <c r="E93" s="1">
        <v>0.1852</v>
      </c>
      <c r="K93" s="2" t="s">
        <v>55</v>
      </c>
      <c r="N93">
        <v>0.23960000000000001</v>
      </c>
    </row>
    <row r="95" spans="1:17" x14ac:dyDescent="0.2">
      <c r="B95" s="3" t="s">
        <v>44</v>
      </c>
      <c r="C95" s="76"/>
      <c r="D95" s="76"/>
      <c r="E95" s="76"/>
      <c r="F95" s="76"/>
      <c r="G95" s="76"/>
      <c r="K95" s="3" t="s">
        <v>44</v>
      </c>
      <c r="L95" s="76"/>
      <c r="M95" s="76"/>
      <c r="N95" s="76"/>
      <c r="O95" s="76"/>
      <c r="P95" s="76"/>
      <c r="Q95" s="76"/>
    </row>
    <row r="96" spans="1:17" x14ac:dyDescent="0.2">
      <c r="B96" s="76"/>
      <c r="C96" s="16" t="s">
        <v>45</v>
      </c>
      <c r="D96" s="16" t="s">
        <v>46</v>
      </c>
      <c r="E96" s="16" t="s">
        <v>47</v>
      </c>
      <c r="F96" s="16" t="s">
        <v>48</v>
      </c>
      <c r="G96" s="16" t="s">
        <v>5</v>
      </c>
      <c r="K96" s="76"/>
      <c r="L96" s="16" t="s">
        <v>45</v>
      </c>
      <c r="M96" s="16" t="s">
        <v>46</v>
      </c>
      <c r="N96" s="16" t="s">
        <v>47</v>
      </c>
      <c r="O96" s="16" t="s">
        <v>48</v>
      </c>
      <c r="P96" s="16" t="s">
        <v>5</v>
      </c>
      <c r="Q96" s="16"/>
    </row>
    <row r="97" spans="2:17" x14ac:dyDescent="0.2">
      <c r="B97" s="2" t="s">
        <v>6</v>
      </c>
      <c r="C97" s="1">
        <v>-0.13669999999999999</v>
      </c>
      <c r="D97" s="1" t="s">
        <v>377</v>
      </c>
      <c r="E97" s="1" t="s">
        <v>49</v>
      </c>
      <c r="F97" s="1" t="s">
        <v>9</v>
      </c>
      <c r="G97" s="1">
        <v>0.46920000000000001</v>
      </c>
      <c r="K97" s="2" t="s">
        <v>6</v>
      </c>
      <c r="L97" s="1">
        <v>0.115</v>
      </c>
      <c r="M97" s="1" t="s">
        <v>378</v>
      </c>
      <c r="N97" s="1" t="s">
        <v>49</v>
      </c>
      <c r="O97" s="1" t="s">
        <v>9</v>
      </c>
      <c r="P97" s="1">
        <v>0.81899999999999995</v>
      </c>
      <c r="Q97" s="1"/>
    </row>
    <row r="98" spans="2:17" x14ac:dyDescent="0.2">
      <c r="B98" s="2" t="s">
        <v>7</v>
      </c>
      <c r="C98" s="1">
        <v>0</v>
      </c>
      <c r="D98" s="1" t="s">
        <v>379</v>
      </c>
      <c r="E98" s="1" t="s">
        <v>49</v>
      </c>
      <c r="F98" s="1" t="s">
        <v>9</v>
      </c>
      <c r="G98" s="46" t="s">
        <v>339</v>
      </c>
      <c r="K98" s="2" t="s">
        <v>7</v>
      </c>
      <c r="L98" s="1">
        <v>-0.13500000000000001</v>
      </c>
      <c r="M98" s="1" t="s">
        <v>380</v>
      </c>
      <c r="N98" s="1" t="s">
        <v>49</v>
      </c>
      <c r="O98" s="1" t="s">
        <v>9</v>
      </c>
      <c r="P98" s="1">
        <v>0.74409999999999998</v>
      </c>
      <c r="Q98" s="1"/>
    </row>
    <row r="99" spans="2:17" x14ac:dyDescent="0.2">
      <c r="B99" s="2" t="s">
        <v>8</v>
      </c>
      <c r="C99" s="1">
        <v>-9.7500000000000003E-2</v>
      </c>
      <c r="D99" s="1" t="s">
        <v>381</v>
      </c>
      <c r="E99" s="1" t="s">
        <v>49</v>
      </c>
      <c r="F99" s="1" t="s">
        <v>9</v>
      </c>
      <c r="G99" s="1">
        <v>0.64959999999999996</v>
      </c>
      <c r="K99" s="2" t="s">
        <v>8</v>
      </c>
      <c r="L99" s="1">
        <v>0.115</v>
      </c>
      <c r="M99" s="1" t="s">
        <v>382</v>
      </c>
      <c r="N99" s="1" t="s">
        <v>49</v>
      </c>
      <c r="O99" s="1" t="s">
        <v>9</v>
      </c>
      <c r="P99" s="1">
        <v>0.7853</v>
      </c>
      <c r="Q99" s="1"/>
    </row>
  </sheetData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M34"/>
  <sheetViews>
    <sheetView workbookViewId="0">
      <selection activeCell="K20" sqref="K20"/>
    </sheetView>
  </sheetViews>
  <sheetFormatPr baseColWidth="10" defaultRowHeight="16" x14ac:dyDescent="0.2"/>
  <cols>
    <col min="2" max="2" width="14.33203125" customWidth="1"/>
    <col min="12" max="12" width="10.33203125" bestFit="1" customWidth="1"/>
  </cols>
  <sheetData>
    <row r="1" spans="1:13" x14ac:dyDescent="0.2">
      <c r="A1" s="9"/>
      <c r="B1" s="9"/>
      <c r="C1" s="9"/>
      <c r="D1" s="9"/>
      <c r="E1" s="9"/>
      <c r="F1" s="9"/>
    </row>
    <row r="2" spans="1:13" ht="18" x14ac:dyDescent="0.2">
      <c r="A2" s="53" t="s">
        <v>1185</v>
      </c>
      <c r="B2" s="8"/>
      <c r="C2" s="8"/>
      <c r="D2" s="9"/>
      <c r="E2" s="9"/>
      <c r="F2" s="9"/>
    </row>
    <row r="3" spans="1:13" x14ac:dyDescent="0.2">
      <c r="A3" s="108"/>
      <c r="B3" s="9"/>
      <c r="C3" s="9"/>
      <c r="D3" s="9"/>
      <c r="E3" s="9"/>
      <c r="F3" s="9"/>
    </row>
    <row r="4" spans="1:13" ht="18" x14ac:dyDescent="0.2">
      <c r="A4" s="14" t="s">
        <v>927</v>
      </c>
      <c r="B4" s="14"/>
      <c r="C4" s="14"/>
      <c r="D4" s="14"/>
      <c r="E4" s="9"/>
      <c r="F4" s="9"/>
      <c r="I4" s="58"/>
      <c r="J4" s="58"/>
      <c r="K4" s="58"/>
      <c r="L4" s="58"/>
      <c r="M4" s="58"/>
    </row>
    <row r="5" spans="1:13" x14ac:dyDescent="0.2">
      <c r="A5" s="9"/>
      <c r="B5" s="9"/>
      <c r="C5" s="9"/>
      <c r="D5" s="9"/>
      <c r="E5" s="9"/>
      <c r="F5" s="9"/>
      <c r="I5" s="58"/>
      <c r="J5" s="58"/>
      <c r="K5" s="58"/>
      <c r="L5" s="58"/>
      <c r="M5" s="58"/>
    </row>
    <row r="6" spans="1:13" x14ac:dyDescent="0.2">
      <c r="A6" s="9"/>
      <c r="B6" s="21"/>
      <c r="C6" s="22" t="s">
        <v>203</v>
      </c>
      <c r="D6" s="22" t="s">
        <v>2</v>
      </c>
      <c r="E6" s="22" t="s">
        <v>3</v>
      </c>
      <c r="F6" s="22" t="s">
        <v>4</v>
      </c>
      <c r="I6" s="21"/>
      <c r="J6" s="142"/>
      <c r="K6" s="142"/>
      <c r="L6" s="142"/>
      <c r="M6" s="142"/>
    </row>
    <row r="7" spans="1:13" x14ac:dyDescent="0.2">
      <c r="A7" s="9"/>
      <c r="B7" s="11" t="s">
        <v>32</v>
      </c>
      <c r="C7" s="17">
        <v>0.34</v>
      </c>
      <c r="D7" s="17">
        <v>0.11</v>
      </c>
      <c r="E7" s="17">
        <v>0.12</v>
      </c>
      <c r="F7" s="17">
        <v>0.26</v>
      </c>
      <c r="I7" s="143"/>
      <c r="J7" s="64"/>
      <c r="K7" s="64"/>
      <c r="L7" s="64"/>
      <c r="M7" s="64"/>
    </row>
    <row r="8" spans="1:13" x14ac:dyDescent="0.2">
      <c r="A8" s="9"/>
      <c r="B8" s="11" t="s">
        <v>33</v>
      </c>
      <c r="C8" s="17">
        <v>7.0000000000000007E-2</v>
      </c>
      <c r="D8" s="17">
        <v>0.61</v>
      </c>
      <c r="E8" s="17">
        <v>0.24</v>
      </c>
      <c r="F8" s="17">
        <v>0.3</v>
      </c>
      <c r="I8" s="143"/>
      <c r="J8" s="64"/>
      <c r="K8" s="64"/>
      <c r="L8" s="64"/>
      <c r="M8" s="64"/>
    </row>
    <row r="9" spans="1:13" x14ac:dyDescent="0.2">
      <c r="A9" s="9"/>
      <c r="B9" s="11" t="s">
        <v>34</v>
      </c>
      <c r="C9" s="17">
        <v>0.05</v>
      </c>
      <c r="D9" s="17">
        <v>0.11</v>
      </c>
      <c r="E9" s="17">
        <v>0.15</v>
      </c>
      <c r="F9" s="17">
        <v>0.15</v>
      </c>
      <c r="I9" s="143"/>
      <c r="J9" s="64"/>
      <c r="K9" s="64"/>
      <c r="L9" s="64"/>
      <c r="M9" s="64"/>
    </row>
    <row r="10" spans="1:13" x14ac:dyDescent="0.2">
      <c r="A10" s="9"/>
      <c r="B10" s="11" t="s">
        <v>35</v>
      </c>
      <c r="C10" s="17">
        <v>0.03</v>
      </c>
      <c r="D10" s="17"/>
      <c r="E10" s="13">
        <v>0.1</v>
      </c>
      <c r="F10" s="17">
        <v>0.55000000000000004</v>
      </c>
      <c r="I10" s="143"/>
      <c r="J10" s="64"/>
      <c r="K10" s="64"/>
      <c r="L10" s="176"/>
      <c r="M10" s="64"/>
    </row>
    <row r="11" spans="1:13" x14ac:dyDescent="0.2">
      <c r="A11" s="9"/>
      <c r="B11" s="11" t="s">
        <v>81</v>
      </c>
      <c r="C11" s="17">
        <v>0.31</v>
      </c>
      <c r="D11" s="17"/>
      <c r="E11" s="17"/>
      <c r="F11" s="17"/>
      <c r="I11" s="143"/>
      <c r="J11" s="64"/>
      <c r="K11" s="64"/>
      <c r="L11" s="64"/>
      <c r="M11" s="64"/>
    </row>
    <row r="12" spans="1:13" x14ac:dyDescent="0.2">
      <c r="A12" s="9"/>
      <c r="B12" s="11" t="s">
        <v>169</v>
      </c>
      <c r="C12" s="94">
        <v>0.17</v>
      </c>
      <c r="D12" s="17"/>
      <c r="E12" s="17"/>
      <c r="F12" s="17"/>
      <c r="I12" s="143"/>
      <c r="J12" s="65"/>
      <c r="K12" s="64"/>
      <c r="L12" s="64"/>
      <c r="M12" s="64"/>
    </row>
    <row r="13" spans="1:13" x14ac:dyDescent="0.2">
      <c r="A13" s="9"/>
      <c r="B13" s="11" t="s">
        <v>170</v>
      </c>
      <c r="C13" s="17">
        <v>0.54</v>
      </c>
      <c r="D13" s="17"/>
      <c r="E13" s="17"/>
      <c r="F13" s="17"/>
      <c r="I13" s="143"/>
      <c r="J13" s="64"/>
      <c r="K13" s="64"/>
      <c r="L13" s="64"/>
      <c r="M13" s="64"/>
    </row>
    <row r="14" spans="1:13" x14ac:dyDescent="0.2">
      <c r="A14" s="9"/>
      <c r="I14" s="107"/>
      <c r="J14" s="68"/>
      <c r="K14" s="68"/>
      <c r="L14" s="68"/>
      <c r="M14" s="68"/>
    </row>
    <row r="15" spans="1:13" x14ac:dyDescent="0.2">
      <c r="A15" s="9"/>
      <c r="C15" s="22" t="s">
        <v>203</v>
      </c>
      <c r="D15" s="22" t="s">
        <v>2</v>
      </c>
      <c r="E15" s="22" t="s">
        <v>3</v>
      </c>
      <c r="F15" s="22" t="s">
        <v>4</v>
      </c>
    </row>
    <row r="16" spans="1:13" x14ac:dyDescent="0.2">
      <c r="A16" s="9"/>
      <c r="B16" s="17" t="s">
        <v>51</v>
      </c>
      <c r="C16" s="17">
        <f>AVERAGE(C7:C13)</f>
        <v>0.21571428571428575</v>
      </c>
      <c r="D16" s="17">
        <f>AVERAGE(D7:D9)</f>
        <v>0.27666666666666667</v>
      </c>
      <c r="E16" s="17">
        <f>AVERAGE(E7:E10)</f>
        <v>0.1525</v>
      </c>
      <c r="F16" s="17">
        <f>AVERAGE(F7:F10)</f>
        <v>0.31500000000000006</v>
      </c>
    </row>
    <row r="17" spans="1:7" x14ac:dyDescent="0.2">
      <c r="A17" s="9"/>
      <c r="B17" s="17" t="s">
        <v>13</v>
      </c>
      <c r="C17" s="17">
        <f>STDEV(C7:C13)</f>
        <v>0.18919629514141681</v>
      </c>
      <c r="D17" s="17">
        <f>STDEV(D7:D9)</f>
        <v>0.28867513459481287</v>
      </c>
      <c r="E17" s="17">
        <f>STDEV(E7:E10)</f>
        <v>6.1846584384264942E-2</v>
      </c>
      <c r="F17" s="17">
        <f>STDEV(F7:F10)</f>
        <v>0.16901676445449615</v>
      </c>
    </row>
    <row r="18" spans="1:7" x14ac:dyDescent="0.2">
      <c r="B18" s="17" t="s">
        <v>14</v>
      </c>
      <c r="C18" s="45">
        <f>C17/(7^0.5)</f>
        <v>7.1509477988423817E-2</v>
      </c>
      <c r="D18" s="45">
        <f>D17/(3^0.5)</f>
        <v>0.16666666666666666</v>
      </c>
      <c r="E18" s="45">
        <f>E17/(4^0.5)</f>
        <v>3.0923292192132471E-2</v>
      </c>
      <c r="F18" s="45">
        <f>F17/(4^0.5)</f>
        <v>8.4508382227248074E-2</v>
      </c>
    </row>
    <row r="19" spans="1:7" x14ac:dyDescent="0.2">
      <c r="B19" s="9"/>
      <c r="C19" s="9"/>
      <c r="D19" s="9"/>
      <c r="E19" s="9"/>
      <c r="F19" s="9"/>
    </row>
    <row r="20" spans="1:7" x14ac:dyDescent="0.2">
      <c r="B20" s="9"/>
      <c r="C20" s="9"/>
      <c r="D20" s="9"/>
      <c r="E20" s="9"/>
      <c r="F20" s="9"/>
    </row>
    <row r="21" spans="1:7" ht="18" x14ac:dyDescent="0.2">
      <c r="B21" s="19" t="s">
        <v>52</v>
      </c>
      <c r="C21" s="20"/>
      <c r="D21" s="20"/>
      <c r="E21" s="20"/>
      <c r="F21" s="20"/>
    </row>
    <row r="23" spans="1:7" x14ac:dyDescent="0.2">
      <c r="B23" s="15" t="s">
        <v>53</v>
      </c>
      <c r="C23" s="1"/>
    </row>
    <row r="24" spans="1:7" x14ac:dyDescent="0.2">
      <c r="B24" s="2" t="s">
        <v>0</v>
      </c>
      <c r="F24" s="1">
        <v>0.59099999999999997</v>
      </c>
    </row>
    <row r="25" spans="1:7" x14ac:dyDescent="0.2">
      <c r="B25" s="2" t="s">
        <v>36</v>
      </c>
      <c r="F25" s="1">
        <v>0.63100000000000001</v>
      </c>
    </row>
    <row r="26" spans="1:7" x14ac:dyDescent="0.2">
      <c r="B26" s="2" t="s">
        <v>37</v>
      </c>
      <c r="F26" s="46" t="s">
        <v>9</v>
      </c>
    </row>
    <row r="27" spans="1:7" x14ac:dyDescent="0.2">
      <c r="B27" s="2" t="s">
        <v>54</v>
      </c>
      <c r="F27" s="46" t="s">
        <v>49</v>
      </c>
    </row>
    <row r="28" spans="1:7" x14ac:dyDescent="0.2">
      <c r="B28" s="2" t="s">
        <v>55</v>
      </c>
      <c r="F28" s="1">
        <v>0.1124</v>
      </c>
    </row>
    <row r="30" spans="1:7" x14ac:dyDescent="0.2">
      <c r="B30" s="3" t="s">
        <v>44</v>
      </c>
      <c r="C30" s="76"/>
      <c r="D30" s="76"/>
      <c r="E30" s="76"/>
      <c r="F30" s="76"/>
      <c r="G30" s="76"/>
    </row>
    <row r="31" spans="1:7" x14ac:dyDescent="0.2">
      <c r="B31" s="76"/>
      <c r="C31" s="16" t="s">
        <v>45</v>
      </c>
      <c r="D31" s="16" t="s">
        <v>46</v>
      </c>
      <c r="E31" s="16" t="s">
        <v>47</v>
      </c>
      <c r="F31" s="16" t="s">
        <v>48</v>
      </c>
      <c r="G31" s="16" t="s">
        <v>5</v>
      </c>
    </row>
    <row r="32" spans="1:7" x14ac:dyDescent="0.2">
      <c r="B32" s="2" t="s">
        <v>207</v>
      </c>
      <c r="C32" s="1">
        <v>-6.0949999999999997E-2</v>
      </c>
      <c r="D32" s="1" t="s">
        <v>326</v>
      </c>
      <c r="E32" s="1" t="s">
        <v>49</v>
      </c>
      <c r="F32" s="1" t="s">
        <v>9</v>
      </c>
      <c r="G32" s="1">
        <v>0.94189999999999996</v>
      </c>
    </row>
    <row r="33" spans="2:7" x14ac:dyDescent="0.2">
      <c r="B33" s="2" t="s">
        <v>208</v>
      </c>
      <c r="C33" s="1">
        <v>6.3210000000000002E-2</v>
      </c>
      <c r="D33" s="1" t="s">
        <v>327</v>
      </c>
      <c r="E33" s="1" t="s">
        <v>49</v>
      </c>
      <c r="F33" s="1" t="s">
        <v>9</v>
      </c>
      <c r="G33" s="1">
        <v>0.91739999999999999</v>
      </c>
    </row>
    <row r="34" spans="2:7" x14ac:dyDescent="0.2">
      <c r="B34" s="2" t="s">
        <v>209</v>
      </c>
      <c r="C34" s="1">
        <v>-9.9290000000000003E-2</v>
      </c>
      <c r="D34" s="1" t="s">
        <v>328</v>
      </c>
      <c r="E34" s="1" t="s">
        <v>49</v>
      </c>
      <c r="F34" s="1" t="s">
        <v>9</v>
      </c>
      <c r="G34" s="1">
        <v>0.75560000000000005</v>
      </c>
    </row>
  </sheetData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AF88"/>
  <sheetViews>
    <sheetView tabSelected="1" topLeftCell="C1" zoomScale="87" zoomScaleNormal="87" zoomScalePageLayoutView="87" workbookViewId="0">
      <selection activeCell="R41" sqref="R41"/>
    </sheetView>
  </sheetViews>
  <sheetFormatPr baseColWidth="10" defaultRowHeight="16" x14ac:dyDescent="0.2"/>
  <cols>
    <col min="2" max="2" width="14.5" customWidth="1"/>
    <col min="3" max="3" width="16.1640625" customWidth="1"/>
    <col min="4" max="4" width="15.83203125" customWidth="1"/>
    <col min="5" max="5" width="15.1640625" customWidth="1"/>
    <col min="6" max="6" width="16.6640625" customWidth="1"/>
    <col min="7" max="7" width="18.5" customWidth="1"/>
    <col min="8" max="8" width="15.1640625" customWidth="1"/>
    <col min="11" max="11" width="14.6640625" customWidth="1"/>
    <col min="12" max="12" width="12.83203125" customWidth="1"/>
    <col min="13" max="13" width="14.5" customWidth="1"/>
    <col min="14" max="14" width="14" customWidth="1"/>
    <col min="15" max="16" width="16" customWidth="1"/>
    <col min="19" max="19" width="14.33203125" customWidth="1"/>
    <col min="20" max="20" width="13.5" customWidth="1"/>
    <col min="21" max="21" width="15" customWidth="1"/>
    <col min="22" max="22" width="16.6640625" customWidth="1"/>
    <col min="23" max="23" width="18.1640625" customWidth="1"/>
    <col min="24" max="24" width="15" customWidth="1"/>
    <col min="27" max="27" width="14.5" customWidth="1"/>
    <col min="28" max="28" width="13.6640625" customWidth="1"/>
    <col min="29" max="29" width="15.1640625" customWidth="1"/>
    <col min="30" max="30" width="17" customWidth="1"/>
    <col min="31" max="31" width="19" customWidth="1"/>
    <col min="32" max="32" width="15.1640625" customWidth="1"/>
  </cols>
  <sheetData>
    <row r="1" spans="1:32" x14ac:dyDescent="0.2">
      <c r="A1" s="9"/>
      <c r="B1" s="9"/>
      <c r="C1" s="9"/>
      <c r="D1" s="9"/>
      <c r="E1" s="9"/>
      <c r="F1" s="9"/>
    </row>
    <row r="2" spans="1:32" ht="18" x14ac:dyDescent="0.2">
      <c r="A2" s="53" t="s">
        <v>1186</v>
      </c>
      <c r="B2" s="8"/>
      <c r="C2" s="8"/>
      <c r="D2" s="9"/>
      <c r="E2" s="9"/>
      <c r="F2" s="9"/>
    </row>
    <row r="3" spans="1:32" ht="18" x14ac:dyDescent="0.2">
      <c r="B3" s="93"/>
      <c r="C3" s="93"/>
      <c r="D3" s="9"/>
      <c r="E3" s="9"/>
      <c r="F3" s="9"/>
      <c r="H3" s="78"/>
    </row>
    <row r="4" spans="1:32" ht="18" x14ac:dyDescent="0.2">
      <c r="A4" s="14" t="s">
        <v>605</v>
      </c>
      <c r="B4" s="14"/>
      <c r="C4" s="14"/>
      <c r="D4" s="14"/>
      <c r="E4" s="14"/>
      <c r="F4" s="9"/>
      <c r="H4" s="78"/>
    </row>
    <row r="5" spans="1:32" x14ac:dyDescent="0.2">
      <c r="A5" s="9"/>
      <c r="B5" s="9"/>
      <c r="C5" s="9"/>
      <c r="D5" s="9"/>
      <c r="E5" s="9"/>
      <c r="F5" s="9"/>
      <c r="H5" s="78"/>
      <c r="AF5" s="78"/>
    </row>
    <row r="6" spans="1:32" x14ac:dyDescent="0.2">
      <c r="A6" s="9"/>
      <c r="C6" s="9"/>
      <c r="D6" s="9"/>
      <c r="E6" s="9"/>
      <c r="F6" s="9"/>
      <c r="H6" s="78"/>
      <c r="P6" s="78"/>
      <c r="X6" s="78"/>
      <c r="AF6" s="78"/>
    </row>
    <row r="7" spans="1:32" x14ac:dyDescent="0.2">
      <c r="A7" s="9"/>
      <c r="B7" s="59" t="s">
        <v>203</v>
      </c>
      <c r="C7" s="116" t="s">
        <v>383</v>
      </c>
      <c r="D7" s="60" t="s">
        <v>384</v>
      </c>
      <c r="E7" s="60" t="s">
        <v>385</v>
      </c>
      <c r="F7" s="60" t="s">
        <v>386</v>
      </c>
      <c r="G7" s="60" t="s">
        <v>387</v>
      </c>
      <c r="H7" s="110"/>
      <c r="J7" s="59" t="s">
        <v>2</v>
      </c>
      <c r="K7" s="116" t="s">
        <v>383</v>
      </c>
      <c r="L7" s="60" t="s">
        <v>384</v>
      </c>
      <c r="M7" s="60" t="s">
        <v>385</v>
      </c>
      <c r="N7" s="60" t="s">
        <v>386</v>
      </c>
      <c r="O7" s="60" t="s">
        <v>387</v>
      </c>
      <c r="P7" s="110"/>
      <c r="R7" s="59" t="s">
        <v>3</v>
      </c>
      <c r="S7" s="116" t="s">
        <v>383</v>
      </c>
      <c r="T7" s="60" t="s">
        <v>384</v>
      </c>
      <c r="U7" s="60" t="s">
        <v>385</v>
      </c>
      <c r="V7" s="60" t="s">
        <v>386</v>
      </c>
      <c r="W7" s="60" t="s">
        <v>387</v>
      </c>
      <c r="X7" s="110"/>
      <c r="Z7" s="59" t="s">
        <v>4</v>
      </c>
      <c r="AA7" s="116" t="s">
        <v>383</v>
      </c>
      <c r="AB7" s="60" t="s">
        <v>384</v>
      </c>
      <c r="AC7" s="60" t="s">
        <v>385</v>
      </c>
      <c r="AD7" s="60" t="s">
        <v>386</v>
      </c>
      <c r="AE7" s="60" t="s">
        <v>387</v>
      </c>
      <c r="AF7" s="110"/>
    </row>
    <row r="8" spans="1:32" x14ac:dyDescent="0.2">
      <c r="A8" s="9"/>
      <c r="B8" s="11" t="s">
        <v>32</v>
      </c>
      <c r="C8" s="55">
        <v>46.81</v>
      </c>
      <c r="D8" s="55">
        <v>8.34</v>
      </c>
      <c r="E8" s="55">
        <v>21.4</v>
      </c>
      <c r="F8" s="55">
        <v>6.09</v>
      </c>
      <c r="G8" s="55">
        <v>4.08</v>
      </c>
      <c r="H8" s="68"/>
      <c r="J8" s="11" t="s">
        <v>32</v>
      </c>
      <c r="K8" s="55">
        <v>47.43</v>
      </c>
      <c r="L8" s="55">
        <v>12.84</v>
      </c>
      <c r="M8" s="55">
        <v>19.88</v>
      </c>
      <c r="N8" s="55">
        <v>10.06</v>
      </c>
      <c r="O8" s="55">
        <v>4.9000000000000004</v>
      </c>
      <c r="P8" s="68"/>
      <c r="Q8" s="9"/>
      <c r="R8" s="11" t="s">
        <v>32</v>
      </c>
      <c r="S8" s="55">
        <v>52.75</v>
      </c>
      <c r="T8" s="55">
        <v>9.7799999999999994</v>
      </c>
      <c r="U8" s="55">
        <v>21.66</v>
      </c>
      <c r="V8" s="55">
        <v>6.44</v>
      </c>
      <c r="W8" s="55">
        <v>4.4000000000000004</v>
      </c>
      <c r="X8" s="68"/>
      <c r="Y8" s="9"/>
      <c r="Z8" s="11" t="s">
        <v>32</v>
      </c>
      <c r="AA8" s="55">
        <v>27.18</v>
      </c>
      <c r="AB8" s="55">
        <v>6.2</v>
      </c>
      <c r="AC8" s="55">
        <v>23.79</v>
      </c>
      <c r="AD8" s="55">
        <v>16.12</v>
      </c>
      <c r="AE8" s="55">
        <v>13.08</v>
      </c>
      <c r="AF8" s="68"/>
    </row>
    <row r="9" spans="1:32" x14ac:dyDescent="0.2">
      <c r="A9" s="9"/>
      <c r="B9" s="11" t="s">
        <v>33</v>
      </c>
      <c r="C9" s="55">
        <v>33.74</v>
      </c>
      <c r="D9" s="55">
        <v>10.69</v>
      </c>
      <c r="E9" s="55">
        <v>32.89</v>
      </c>
      <c r="F9" s="55">
        <v>10.25</v>
      </c>
      <c r="G9" s="55">
        <v>6.29</v>
      </c>
      <c r="H9" s="68"/>
      <c r="J9" s="11" t="s">
        <v>33</v>
      </c>
      <c r="K9" s="55">
        <v>34.08</v>
      </c>
      <c r="L9" s="55">
        <v>6.93</v>
      </c>
      <c r="M9" s="55">
        <v>29.04</v>
      </c>
      <c r="N9" s="55">
        <v>14.15</v>
      </c>
      <c r="O9" s="55">
        <v>11.83</v>
      </c>
      <c r="P9" s="68"/>
      <c r="Q9" s="9"/>
      <c r="R9" s="11" t="s">
        <v>33</v>
      </c>
      <c r="S9" s="55">
        <v>46.53</v>
      </c>
      <c r="T9" s="55">
        <v>5.89</v>
      </c>
      <c r="U9" s="55">
        <v>24.14</v>
      </c>
      <c r="V9" s="55">
        <v>12.1</v>
      </c>
      <c r="W9" s="55">
        <f>6.27+4.35</f>
        <v>10.62</v>
      </c>
      <c r="X9" s="68"/>
      <c r="Y9" s="9"/>
      <c r="Z9" s="11" t="s">
        <v>33</v>
      </c>
      <c r="AA9" s="55">
        <v>19.09</v>
      </c>
      <c r="AB9" s="55">
        <v>2.95</v>
      </c>
      <c r="AC9" s="55">
        <v>24.32</v>
      </c>
      <c r="AD9" s="55">
        <v>14.98</v>
      </c>
      <c r="AE9" s="55">
        <v>15.29</v>
      </c>
      <c r="AF9" s="68"/>
    </row>
    <row r="10" spans="1:32" x14ac:dyDescent="0.2">
      <c r="A10" s="9"/>
      <c r="B10" s="11" t="s">
        <v>34</v>
      </c>
      <c r="C10" s="55">
        <v>45.06</v>
      </c>
      <c r="D10" s="55">
        <v>7.12</v>
      </c>
      <c r="E10" s="55">
        <v>25.56</v>
      </c>
      <c r="F10" s="55">
        <v>11.74</v>
      </c>
      <c r="G10" s="55">
        <v>5.55</v>
      </c>
      <c r="H10" s="68"/>
      <c r="J10" s="11" t="s">
        <v>34</v>
      </c>
      <c r="K10" s="55">
        <v>38.07</v>
      </c>
      <c r="L10" s="55">
        <v>8.5</v>
      </c>
      <c r="M10" s="55">
        <v>26.84</v>
      </c>
      <c r="N10" s="55">
        <v>12.99</v>
      </c>
      <c r="O10" s="55">
        <v>8.93</v>
      </c>
      <c r="P10" s="68"/>
      <c r="Q10" s="9"/>
      <c r="R10" s="11" t="s">
        <v>34</v>
      </c>
      <c r="S10" s="55">
        <v>55.96</v>
      </c>
      <c r="T10" s="55">
        <v>5.0999999999999996</v>
      </c>
      <c r="U10" s="55">
        <v>25.38</v>
      </c>
      <c r="V10" s="55">
        <v>8.41</v>
      </c>
      <c r="W10" s="55">
        <v>3.89</v>
      </c>
      <c r="X10" s="68"/>
      <c r="Y10" s="9"/>
      <c r="Z10" s="11" t="s">
        <v>34</v>
      </c>
      <c r="AA10" s="55">
        <v>17.88</v>
      </c>
      <c r="AB10" s="55">
        <v>5.04</v>
      </c>
      <c r="AC10" s="55">
        <v>22.45</v>
      </c>
      <c r="AD10" s="55">
        <v>16.89</v>
      </c>
      <c r="AE10" s="55">
        <v>17.2</v>
      </c>
      <c r="AF10" s="68"/>
    </row>
    <row r="11" spans="1:32" x14ac:dyDescent="0.2">
      <c r="A11" s="9"/>
      <c r="B11" s="11" t="s">
        <v>35</v>
      </c>
      <c r="C11" s="55">
        <v>38.85</v>
      </c>
      <c r="D11" s="55">
        <v>8.4700000000000006</v>
      </c>
      <c r="E11" s="55">
        <v>29.64</v>
      </c>
      <c r="F11" s="55">
        <v>11.72</v>
      </c>
      <c r="G11" s="55">
        <v>9.84</v>
      </c>
      <c r="H11" s="68"/>
      <c r="J11" s="11" t="s">
        <v>35</v>
      </c>
      <c r="K11" s="55">
        <v>22.7</v>
      </c>
      <c r="L11" s="55">
        <v>6.71</v>
      </c>
      <c r="M11" s="55">
        <v>22.7</v>
      </c>
      <c r="N11" s="55">
        <v>20.45</v>
      </c>
      <c r="O11" s="55">
        <v>17.53</v>
      </c>
      <c r="P11" s="68"/>
      <c r="Q11" s="9"/>
      <c r="R11" s="11" t="s">
        <v>35</v>
      </c>
      <c r="S11" s="55">
        <v>53.43</v>
      </c>
      <c r="T11" s="55">
        <v>6.25</v>
      </c>
      <c r="U11" s="55">
        <v>27.76</v>
      </c>
      <c r="V11" s="55">
        <v>7.96</v>
      </c>
      <c r="W11" s="55">
        <v>3.14</v>
      </c>
      <c r="X11" s="68"/>
      <c r="Y11" s="9"/>
    </row>
    <row r="12" spans="1:32" x14ac:dyDescent="0.2">
      <c r="A12" s="9"/>
      <c r="B12" s="11" t="s">
        <v>81</v>
      </c>
      <c r="C12" s="55">
        <v>58.9</v>
      </c>
      <c r="D12" s="55">
        <v>4.3</v>
      </c>
      <c r="E12" s="55">
        <v>25.36</v>
      </c>
      <c r="F12" s="55">
        <v>6.04</v>
      </c>
      <c r="G12" s="55">
        <v>2.98</v>
      </c>
      <c r="H12" s="68"/>
      <c r="P12" s="78"/>
      <c r="Q12" s="9"/>
      <c r="R12" s="11" t="s">
        <v>81</v>
      </c>
      <c r="S12" s="55">
        <v>56.16</v>
      </c>
      <c r="T12" s="55">
        <v>4.82</v>
      </c>
      <c r="U12" s="55">
        <v>26.45</v>
      </c>
      <c r="V12" s="55">
        <v>8.19</v>
      </c>
      <c r="W12" s="55">
        <v>3.08</v>
      </c>
      <c r="X12" s="68"/>
      <c r="Y12" s="9"/>
      <c r="Z12" s="9"/>
      <c r="AA12" s="9"/>
      <c r="AB12" s="9"/>
      <c r="AC12" s="9"/>
      <c r="AD12" s="9"/>
      <c r="AE12" s="9"/>
    </row>
    <row r="13" spans="1:32" x14ac:dyDescent="0.2">
      <c r="A13" s="9"/>
      <c r="P13" s="78"/>
      <c r="X13" s="78"/>
    </row>
    <row r="14" spans="1:32" x14ac:dyDescent="0.2">
      <c r="A14" s="9"/>
      <c r="B14" s="59" t="s">
        <v>203</v>
      </c>
      <c r="C14" s="116" t="s">
        <v>383</v>
      </c>
      <c r="D14" s="60" t="s">
        <v>384</v>
      </c>
      <c r="E14" s="60" t="s">
        <v>385</v>
      </c>
      <c r="F14" s="60" t="s">
        <v>386</v>
      </c>
      <c r="G14" s="60" t="s">
        <v>387</v>
      </c>
      <c r="J14" s="59" t="s">
        <v>2</v>
      </c>
      <c r="K14" s="116" t="s">
        <v>383</v>
      </c>
      <c r="L14" s="60" t="s">
        <v>384</v>
      </c>
      <c r="M14" s="60" t="s">
        <v>385</v>
      </c>
      <c r="N14" s="60" t="s">
        <v>386</v>
      </c>
      <c r="O14" s="175" t="s">
        <v>387</v>
      </c>
      <c r="P14" s="78"/>
      <c r="R14" s="59" t="s">
        <v>3</v>
      </c>
      <c r="S14" s="116" t="s">
        <v>383</v>
      </c>
      <c r="T14" s="60" t="s">
        <v>384</v>
      </c>
      <c r="U14" s="60" t="s">
        <v>385</v>
      </c>
      <c r="V14" s="60" t="s">
        <v>386</v>
      </c>
      <c r="W14" s="60" t="s">
        <v>387</v>
      </c>
      <c r="Z14" s="59" t="s">
        <v>4</v>
      </c>
      <c r="AA14" s="116" t="s">
        <v>383</v>
      </c>
      <c r="AB14" s="60" t="s">
        <v>384</v>
      </c>
      <c r="AC14" s="60" t="s">
        <v>385</v>
      </c>
      <c r="AD14" s="60" t="s">
        <v>386</v>
      </c>
      <c r="AE14" s="60" t="s">
        <v>387</v>
      </c>
    </row>
    <row r="15" spans="1:32" x14ac:dyDescent="0.2">
      <c r="B15" s="17" t="s">
        <v>51</v>
      </c>
      <c r="C15" s="17">
        <f>AVERAGE(C8:C12)</f>
        <v>44.672000000000004</v>
      </c>
      <c r="D15" s="17">
        <f>AVERAGE(D8:D12)</f>
        <v>7.7840000000000007</v>
      </c>
      <c r="E15" s="17">
        <f>AVERAGE(E8:E12)</f>
        <v>26.97</v>
      </c>
      <c r="F15" s="17">
        <f>AVERAGE(F8:F12)</f>
        <v>9.1679999999999993</v>
      </c>
      <c r="G15" s="17">
        <f>AVERAGE(G8:G12)</f>
        <v>5.7480000000000002</v>
      </c>
      <c r="J15" s="17" t="s">
        <v>51</v>
      </c>
      <c r="K15" s="17">
        <f>AVERAGE(K8:K11)</f>
        <v>35.569999999999993</v>
      </c>
      <c r="L15" s="17">
        <f>AVERAGE(L8:L11)</f>
        <v>8.7449999999999992</v>
      </c>
      <c r="M15" s="17">
        <f>AVERAGE(M8:M11)</f>
        <v>24.615000000000002</v>
      </c>
      <c r="N15" s="17">
        <f>AVERAGE(N8:N11)</f>
        <v>14.412500000000001</v>
      </c>
      <c r="O15" s="17">
        <f>AVERAGE(O8:O11)</f>
        <v>10.797499999999999</v>
      </c>
      <c r="R15" s="17" t="s">
        <v>51</v>
      </c>
      <c r="S15" s="17">
        <f>AVERAGE(S8:S12)</f>
        <v>52.966000000000008</v>
      </c>
      <c r="T15" s="17">
        <f>AVERAGE(T8:T12)</f>
        <v>6.3679999999999994</v>
      </c>
      <c r="U15" s="17">
        <f>AVERAGE(U8:U12)</f>
        <v>25.077999999999999</v>
      </c>
      <c r="V15" s="17">
        <f>AVERAGE(V8:V12)</f>
        <v>8.6199999999999992</v>
      </c>
      <c r="W15" s="17">
        <f>AVERAGE(W8:W12)</f>
        <v>5.0260000000000007</v>
      </c>
      <c r="Z15" s="17" t="s">
        <v>51</v>
      </c>
      <c r="AA15" s="17">
        <f>AVERAGE(AA8:AA10)</f>
        <v>21.383333333333329</v>
      </c>
      <c r="AB15" s="17">
        <f>AVERAGE(AB8:AB10)</f>
        <v>4.7300000000000004</v>
      </c>
      <c r="AC15" s="17">
        <f>AVERAGE(AC8:AC10)</f>
        <v>23.52</v>
      </c>
      <c r="AD15" s="17">
        <f>AVERAGE(AD8:AD10)</f>
        <v>15.996666666666668</v>
      </c>
      <c r="AE15" s="17">
        <f>AVERAGE(AE8:AE10)</f>
        <v>15.189999999999998</v>
      </c>
    </row>
    <row r="16" spans="1:32" x14ac:dyDescent="0.2">
      <c r="B16" s="17" t="s">
        <v>13</v>
      </c>
      <c r="C16" s="17">
        <f>STDEV(C8:C12)</f>
        <v>9.4942335130330697</v>
      </c>
      <c r="D16" s="17">
        <f>STDEV(D8:D12)</f>
        <v>2.3347226816048163</v>
      </c>
      <c r="E16" s="17">
        <f>STDEV(E8:E12)</f>
        <v>4.4096598508275147</v>
      </c>
      <c r="F16" s="17">
        <f>STDEV(F8:F12)</f>
        <v>2.8964236568568529</v>
      </c>
      <c r="G16" s="17">
        <f>STDEV(G8:G12)</f>
        <v>2.6230459393613357</v>
      </c>
      <c r="J16" s="17" t="s">
        <v>13</v>
      </c>
      <c r="K16" s="17">
        <f>STDEV(K8:K11)</f>
        <v>10.243153811204857</v>
      </c>
      <c r="L16" s="17">
        <f>STDEV(L8:L11)</f>
        <v>2.8439702295675788</v>
      </c>
      <c r="M16" s="17">
        <f>STDEV(M8:M11)</f>
        <v>4.1076635694759434</v>
      </c>
      <c r="N16" s="17">
        <f>STDEV(N8:N11)</f>
        <v>4.3775211783230272</v>
      </c>
      <c r="O16" s="17">
        <f>STDEV(O8:O11)</f>
        <v>5.3122711715423607</v>
      </c>
      <c r="R16" s="17" t="s">
        <v>13</v>
      </c>
      <c r="S16" s="17">
        <f>STDEV(S8:S12)</f>
        <v>3.9003115260194274</v>
      </c>
      <c r="T16" s="17">
        <f>STDEV(T8:T12)</f>
        <v>1.9930052684325754</v>
      </c>
      <c r="U16" s="17">
        <f>STDEV(U8:U12)</f>
        <v>2.3307337900326583</v>
      </c>
      <c r="V16" s="17">
        <f>STDEV(V8:V12)</f>
        <v>2.0932868890813863</v>
      </c>
      <c r="W16" s="17">
        <f>STDEV(W8:W12)</f>
        <v>3.1748669263451021</v>
      </c>
      <c r="Z16" s="17" t="s">
        <v>13</v>
      </c>
      <c r="AA16" s="17">
        <f>STDEV(AA8:AA10)</f>
        <v>5.0563854019777184</v>
      </c>
      <c r="AB16" s="17">
        <f>STDEV(AB8:AB10)</f>
        <v>1.6470276257549554</v>
      </c>
      <c r="AC16" s="17">
        <f>STDEV(AC8:AC10)</f>
        <v>0.96379458392335904</v>
      </c>
      <c r="AD16" s="17">
        <f>STDEV(AD8:AD10)</f>
        <v>0.96095438670799227</v>
      </c>
      <c r="AE16" s="17">
        <f>STDEV(AE8:AE10)</f>
        <v>2.0618195847357899</v>
      </c>
    </row>
    <row r="17" spans="1:31" x14ac:dyDescent="0.2">
      <c r="B17" s="17" t="s">
        <v>14</v>
      </c>
      <c r="C17" s="70">
        <f>C16/(5^0.5)</f>
        <v>4.2459503058797159</v>
      </c>
      <c r="D17" s="70">
        <f t="shared" ref="D17:G17" si="0">D16/(5^0.5)</f>
        <v>1.0441197249357934</v>
      </c>
      <c r="E17" s="70">
        <f t="shared" si="0"/>
        <v>1.972059836820381</v>
      </c>
      <c r="F17" s="70">
        <f t="shared" si="0"/>
        <v>1.2953200376740894</v>
      </c>
      <c r="G17" s="70">
        <f t="shared" si="0"/>
        <v>1.1730618057033475</v>
      </c>
      <c r="J17" s="17" t="s">
        <v>14</v>
      </c>
      <c r="K17" s="70">
        <f>K16/(4^0.5)</f>
        <v>5.1215769056024287</v>
      </c>
      <c r="L17" s="70">
        <f t="shared" ref="L17:O17" si="1">L16/(4^0.5)</f>
        <v>1.4219851147837894</v>
      </c>
      <c r="M17" s="70">
        <f t="shared" si="1"/>
        <v>2.0538317847379717</v>
      </c>
      <c r="N17" s="70">
        <f t="shared" si="1"/>
        <v>2.1887605891615136</v>
      </c>
      <c r="O17" s="70">
        <f t="shared" si="1"/>
        <v>2.6561355857711804</v>
      </c>
      <c r="R17" s="17" t="s">
        <v>14</v>
      </c>
      <c r="S17" s="70">
        <f>S16/(5^0.5)</f>
        <v>1.7442723411210759</v>
      </c>
      <c r="T17" s="70">
        <f t="shared" ref="T17:V17" si="2">T16/(5^0.5)</f>
        <v>0.89129905194609083</v>
      </c>
      <c r="U17" s="70">
        <f t="shared" si="2"/>
        <v>1.0423358383937491</v>
      </c>
      <c r="V17" s="70">
        <f t="shared" si="2"/>
        <v>0.93614635607900831</v>
      </c>
      <c r="W17" s="70">
        <f>W16/(5^0.5)</f>
        <v>1.4198436533646932</v>
      </c>
      <c r="Z17" s="17" t="s">
        <v>14</v>
      </c>
      <c r="AA17" s="70">
        <f>AA16/(3^0.5)</f>
        <v>2.9193054729583299</v>
      </c>
      <c r="AB17" s="70">
        <f>AB16/(3^0.5)</f>
        <v>0.95091184309237375</v>
      </c>
      <c r="AC17" s="70">
        <f t="shared" ref="AC17:AE17" si="3">AC16/(3^0.5)</f>
        <v>0.55644706247165476</v>
      </c>
      <c r="AD17" s="70">
        <f t="shared" si="3"/>
        <v>0.5548072738448111</v>
      </c>
      <c r="AE17" s="70">
        <f t="shared" si="3"/>
        <v>1.1903920922676507</v>
      </c>
    </row>
    <row r="19" spans="1:31" ht="18" x14ac:dyDescent="0.2">
      <c r="B19" s="19" t="s">
        <v>52</v>
      </c>
      <c r="C19" s="20"/>
      <c r="D19" s="20"/>
      <c r="E19" s="20"/>
      <c r="F19" s="20"/>
    </row>
    <row r="21" spans="1:31" x14ac:dyDescent="0.2">
      <c r="A21" s="52" t="s">
        <v>388</v>
      </c>
      <c r="B21" s="15" t="s">
        <v>53</v>
      </c>
      <c r="C21" s="1"/>
    </row>
    <row r="22" spans="1:31" x14ac:dyDescent="0.2">
      <c r="B22" s="2" t="s">
        <v>0</v>
      </c>
      <c r="F22" s="1">
        <v>11.31</v>
      </c>
    </row>
    <row r="23" spans="1:31" x14ac:dyDescent="0.2">
      <c r="B23" s="2" t="s">
        <v>36</v>
      </c>
      <c r="F23" s="1">
        <v>5.9999999999999995E-4</v>
      </c>
    </row>
    <row r="24" spans="1:31" x14ac:dyDescent="0.2">
      <c r="B24" s="2" t="s">
        <v>37</v>
      </c>
      <c r="F24" s="46" t="s">
        <v>10</v>
      </c>
    </row>
    <row r="25" spans="1:31" x14ac:dyDescent="0.2">
      <c r="B25" s="2" t="s">
        <v>54</v>
      </c>
      <c r="F25" s="46" t="s">
        <v>41</v>
      </c>
    </row>
    <row r="26" spans="1:31" x14ac:dyDescent="0.2">
      <c r="B26" s="2" t="s">
        <v>55</v>
      </c>
      <c r="F26" s="1">
        <v>0.72299999999999998</v>
      </c>
    </row>
    <row r="28" spans="1:31" x14ac:dyDescent="0.2">
      <c r="B28" s="3" t="s">
        <v>44</v>
      </c>
      <c r="C28" s="76"/>
      <c r="D28" s="76"/>
      <c r="E28" s="76"/>
      <c r="F28" s="76"/>
      <c r="G28" s="76"/>
    </row>
    <row r="29" spans="1:31" x14ac:dyDescent="0.2">
      <c r="B29" s="76"/>
      <c r="C29" s="16" t="s">
        <v>45</v>
      </c>
      <c r="D29" s="16" t="s">
        <v>46</v>
      </c>
      <c r="E29" s="16" t="s">
        <v>47</v>
      </c>
      <c r="F29" s="16" t="s">
        <v>48</v>
      </c>
      <c r="G29" s="16" t="s">
        <v>5</v>
      </c>
    </row>
    <row r="30" spans="1:31" x14ac:dyDescent="0.2">
      <c r="B30" s="2" t="s">
        <v>207</v>
      </c>
      <c r="C30" s="1">
        <v>9.1020000000000003</v>
      </c>
      <c r="D30" s="1" t="s">
        <v>389</v>
      </c>
      <c r="E30" s="1" t="s">
        <v>49</v>
      </c>
      <c r="F30" s="1" t="s">
        <v>9</v>
      </c>
      <c r="G30" s="1">
        <v>0.2455</v>
      </c>
    </row>
    <row r="31" spans="1:31" x14ac:dyDescent="0.2">
      <c r="B31" s="2" t="s">
        <v>208</v>
      </c>
      <c r="C31" s="1">
        <v>-8.2940000000000005</v>
      </c>
      <c r="D31" s="1" t="s">
        <v>390</v>
      </c>
      <c r="E31" s="1" t="s">
        <v>49</v>
      </c>
      <c r="F31" s="1" t="s">
        <v>9</v>
      </c>
      <c r="G31" s="1">
        <v>0.26850000000000002</v>
      </c>
    </row>
    <row r="32" spans="1:31" x14ac:dyDescent="0.2">
      <c r="B32" s="2" t="s">
        <v>209</v>
      </c>
      <c r="C32" s="1">
        <v>23.29</v>
      </c>
      <c r="D32" s="1" t="s">
        <v>391</v>
      </c>
      <c r="E32" s="1" t="s">
        <v>41</v>
      </c>
      <c r="F32" s="1" t="s">
        <v>11</v>
      </c>
      <c r="G32" s="1">
        <v>3.5000000000000001E-3</v>
      </c>
    </row>
    <row r="33" spans="1:13" x14ac:dyDescent="0.2">
      <c r="H33" s="99"/>
      <c r="I33" s="99"/>
      <c r="J33" s="99"/>
      <c r="K33" s="99"/>
      <c r="L33" s="99"/>
      <c r="M33" s="99"/>
    </row>
    <row r="34" spans="1:13" x14ac:dyDescent="0.2">
      <c r="H34" s="117"/>
      <c r="I34" s="112"/>
      <c r="J34" s="112"/>
      <c r="K34" s="112"/>
      <c r="L34" s="112"/>
      <c r="M34" s="112"/>
    </row>
    <row r="35" spans="1:13" x14ac:dyDescent="0.2">
      <c r="A35" s="52" t="s">
        <v>392</v>
      </c>
      <c r="B35" s="15" t="s">
        <v>53</v>
      </c>
      <c r="C35" s="1"/>
      <c r="H35" s="117"/>
      <c r="I35" s="112"/>
      <c r="J35" s="112"/>
      <c r="K35" s="112"/>
      <c r="L35" s="112"/>
      <c r="M35" s="112"/>
    </row>
    <row r="36" spans="1:13" x14ac:dyDescent="0.2">
      <c r="B36" s="2" t="s">
        <v>0</v>
      </c>
      <c r="F36" s="1">
        <v>2.1</v>
      </c>
      <c r="H36" s="117"/>
      <c r="I36" s="112"/>
      <c r="J36" s="112"/>
      <c r="K36" s="112"/>
      <c r="L36" s="112"/>
      <c r="M36" s="112"/>
    </row>
    <row r="37" spans="1:13" x14ac:dyDescent="0.2">
      <c r="B37" s="2" t="s">
        <v>36</v>
      </c>
      <c r="F37" s="1">
        <v>0.14960000000000001</v>
      </c>
    </row>
    <row r="38" spans="1:13" x14ac:dyDescent="0.2">
      <c r="B38" s="2" t="s">
        <v>37</v>
      </c>
      <c r="F38" s="46" t="s">
        <v>9</v>
      </c>
    </row>
    <row r="39" spans="1:13" x14ac:dyDescent="0.2">
      <c r="B39" s="2" t="s">
        <v>54</v>
      </c>
      <c r="F39" s="46" t="s">
        <v>49</v>
      </c>
    </row>
    <row r="40" spans="1:13" x14ac:dyDescent="0.2">
      <c r="B40" s="2" t="s">
        <v>55</v>
      </c>
      <c r="F40" s="1">
        <v>0.32650000000000001</v>
      </c>
    </row>
    <row r="42" spans="1:13" x14ac:dyDescent="0.2">
      <c r="B42" s="3" t="s">
        <v>44</v>
      </c>
      <c r="C42" s="76"/>
      <c r="D42" s="76"/>
      <c r="E42" s="76"/>
      <c r="F42" s="76"/>
      <c r="G42" s="76"/>
    </row>
    <row r="43" spans="1:13" x14ac:dyDescent="0.2">
      <c r="B43" s="76"/>
      <c r="C43" s="16" t="s">
        <v>45</v>
      </c>
      <c r="D43" s="16" t="s">
        <v>46</v>
      </c>
      <c r="E43" s="16" t="s">
        <v>47</v>
      </c>
      <c r="F43" s="16" t="s">
        <v>48</v>
      </c>
      <c r="G43" s="16" t="s">
        <v>5</v>
      </c>
    </row>
    <row r="44" spans="1:13" x14ac:dyDescent="0.2">
      <c r="B44" s="2" t="s">
        <v>393</v>
      </c>
      <c r="C44" s="1">
        <v>-0.96099999999999997</v>
      </c>
      <c r="D44" s="1" t="s">
        <v>394</v>
      </c>
      <c r="E44" s="1" t="s">
        <v>49</v>
      </c>
      <c r="F44" s="1" t="s">
        <v>9</v>
      </c>
      <c r="G44" s="1">
        <v>0.87180000000000002</v>
      </c>
    </row>
    <row r="45" spans="1:13" x14ac:dyDescent="0.2">
      <c r="B45" s="2" t="s">
        <v>395</v>
      </c>
      <c r="C45" s="1">
        <v>1.4159999999999999</v>
      </c>
      <c r="D45" s="1" t="s">
        <v>396</v>
      </c>
      <c r="E45" s="1" t="s">
        <v>49</v>
      </c>
      <c r="F45" s="1" t="s">
        <v>9</v>
      </c>
      <c r="G45" s="1">
        <v>0.66010000000000002</v>
      </c>
    </row>
    <row r="46" spans="1:13" x14ac:dyDescent="0.2">
      <c r="B46" s="2" t="s">
        <v>397</v>
      </c>
      <c r="C46" s="1">
        <v>3.0539999999999998</v>
      </c>
      <c r="D46" s="1" t="s">
        <v>398</v>
      </c>
      <c r="E46" s="1" t="s">
        <v>49</v>
      </c>
      <c r="F46" s="1" t="s">
        <v>9</v>
      </c>
      <c r="G46" s="1">
        <v>0.21199999999999999</v>
      </c>
    </row>
    <row r="49" spans="1:7" x14ac:dyDescent="0.2">
      <c r="A49" s="52" t="s">
        <v>399</v>
      </c>
      <c r="B49" s="15" t="s">
        <v>53</v>
      </c>
      <c r="C49" s="1"/>
    </row>
    <row r="50" spans="1:7" x14ac:dyDescent="0.2">
      <c r="B50" s="2" t="s">
        <v>0</v>
      </c>
      <c r="F50" s="1">
        <v>0.72789999999999999</v>
      </c>
    </row>
    <row r="51" spans="1:7" x14ac:dyDescent="0.2">
      <c r="B51" s="2" t="s">
        <v>36</v>
      </c>
      <c r="F51" s="1">
        <v>0.5534</v>
      </c>
    </row>
    <row r="52" spans="1:7" x14ac:dyDescent="0.2">
      <c r="B52" s="2" t="s">
        <v>37</v>
      </c>
      <c r="F52" s="46" t="s">
        <v>9</v>
      </c>
    </row>
    <row r="53" spans="1:7" x14ac:dyDescent="0.2">
      <c r="B53" s="2" t="s">
        <v>54</v>
      </c>
      <c r="F53" s="46" t="s">
        <v>49</v>
      </c>
    </row>
    <row r="54" spans="1:7" x14ac:dyDescent="0.2">
      <c r="B54" s="2" t="s">
        <v>55</v>
      </c>
      <c r="F54" s="1">
        <v>0.14380000000000001</v>
      </c>
    </row>
    <row r="56" spans="1:7" x14ac:dyDescent="0.2">
      <c r="B56" s="3" t="s">
        <v>44</v>
      </c>
      <c r="C56" s="76"/>
      <c r="D56" s="76"/>
      <c r="E56" s="76"/>
      <c r="F56" s="76"/>
      <c r="G56" s="76"/>
    </row>
    <row r="57" spans="1:7" x14ac:dyDescent="0.2">
      <c r="B57" s="76"/>
      <c r="C57" s="16" t="s">
        <v>45</v>
      </c>
      <c r="D57" s="16" t="s">
        <v>46</v>
      </c>
      <c r="E57" s="16" t="s">
        <v>47</v>
      </c>
      <c r="F57" s="16" t="s">
        <v>48</v>
      </c>
      <c r="G57" s="16" t="s">
        <v>5</v>
      </c>
    </row>
    <row r="58" spans="1:7" x14ac:dyDescent="0.2">
      <c r="B58" s="2" t="s">
        <v>393</v>
      </c>
      <c r="C58" s="1">
        <v>2.355</v>
      </c>
      <c r="D58" s="1" t="s">
        <v>400</v>
      </c>
      <c r="E58" s="1" t="s">
        <v>49</v>
      </c>
      <c r="F58" s="1" t="s">
        <v>9</v>
      </c>
      <c r="G58" s="1">
        <v>0.63190000000000002</v>
      </c>
    </row>
    <row r="59" spans="1:7" x14ac:dyDescent="0.2">
      <c r="B59" s="2" t="s">
        <v>395</v>
      </c>
      <c r="C59" s="1">
        <v>1.8919999999999999</v>
      </c>
      <c r="D59" s="1" t="s">
        <v>401</v>
      </c>
      <c r="E59" s="1" t="s">
        <v>49</v>
      </c>
      <c r="F59" s="1" t="s">
        <v>9</v>
      </c>
      <c r="G59" s="1">
        <v>0.73009999999999997</v>
      </c>
    </row>
    <row r="60" spans="1:7" x14ac:dyDescent="0.2">
      <c r="B60" s="2" t="s">
        <v>397</v>
      </c>
      <c r="C60" s="1">
        <v>3.45</v>
      </c>
      <c r="D60" s="1" t="s">
        <v>402</v>
      </c>
      <c r="E60" s="1" t="s">
        <v>49</v>
      </c>
      <c r="F60" s="1" t="s">
        <v>9</v>
      </c>
      <c r="G60" s="1">
        <v>0.41439999999999999</v>
      </c>
    </row>
    <row r="63" spans="1:7" x14ac:dyDescent="0.2">
      <c r="A63" s="52" t="s">
        <v>403</v>
      </c>
      <c r="B63" s="15" t="s">
        <v>53</v>
      </c>
      <c r="C63" s="1"/>
    </row>
    <row r="64" spans="1:7" x14ac:dyDescent="0.2">
      <c r="B64" s="2" t="s">
        <v>0</v>
      </c>
      <c r="F64" s="1">
        <v>6.4050000000000002</v>
      </c>
    </row>
    <row r="65" spans="1:7" x14ac:dyDescent="0.2">
      <c r="B65" s="2" t="s">
        <v>36</v>
      </c>
      <c r="F65" s="1">
        <v>6.7000000000000002E-3</v>
      </c>
    </row>
    <row r="66" spans="1:7" x14ac:dyDescent="0.2">
      <c r="B66" s="2" t="s">
        <v>37</v>
      </c>
      <c r="F66" s="46" t="s">
        <v>11</v>
      </c>
    </row>
    <row r="67" spans="1:7" x14ac:dyDescent="0.2">
      <c r="B67" s="2" t="s">
        <v>54</v>
      </c>
      <c r="F67" s="46" t="s">
        <v>41</v>
      </c>
    </row>
    <row r="68" spans="1:7" x14ac:dyDescent="0.2">
      <c r="B68" s="2" t="s">
        <v>55</v>
      </c>
      <c r="F68" s="1">
        <v>0.59650000000000003</v>
      </c>
    </row>
    <row r="70" spans="1:7" x14ac:dyDescent="0.2">
      <c r="B70" s="3" t="s">
        <v>44</v>
      </c>
      <c r="C70" s="76"/>
      <c r="D70" s="76"/>
      <c r="E70" s="76"/>
      <c r="F70" s="76"/>
      <c r="G70" s="76"/>
    </row>
    <row r="71" spans="1:7" x14ac:dyDescent="0.2">
      <c r="B71" s="76"/>
      <c r="C71" s="16" t="s">
        <v>45</v>
      </c>
      <c r="D71" s="16" t="s">
        <v>46</v>
      </c>
      <c r="E71" s="16" t="s">
        <v>47</v>
      </c>
      <c r="F71" s="16" t="s">
        <v>48</v>
      </c>
      <c r="G71" s="16" t="s">
        <v>5</v>
      </c>
    </row>
    <row r="72" spans="1:7" x14ac:dyDescent="0.2">
      <c r="B72" s="2" t="s">
        <v>393</v>
      </c>
      <c r="C72" s="1">
        <v>-5.2450000000000001</v>
      </c>
      <c r="D72" s="1" t="s">
        <v>404</v>
      </c>
      <c r="E72" s="1" t="s">
        <v>41</v>
      </c>
      <c r="F72" s="1" t="s">
        <v>12</v>
      </c>
      <c r="G72" s="1">
        <v>4.8899999999999999E-2</v>
      </c>
    </row>
    <row r="73" spans="1:7" x14ac:dyDescent="0.2">
      <c r="B73" s="2" t="s">
        <v>395</v>
      </c>
      <c r="C73" s="1">
        <v>0.54800000000000004</v>
      </c>
      <c r="D73" s="1" t="s">
        <v>405</v>
      </c>
      <c r="E73" s="1" t="s">
        <v>49</v>
      </c>
      <c r="F73" s="1" t="s">
        <v>9</v>
      </c>
      <c r="G73" s="1">
        <v>0.9829</v>
      </c>
    </row>
    <row r="74" spans="1:7" x14ac:dyDescent="0.2">
      <c r="B74" s="2" t="s">
        <v>397</v>
      </c>
      <c r="C74" s="1">
        <v>-6.8289999999999997</v>
      </c>
      <c r="D74" s="1" t="s">
        <v>406</v>
      </c>
      <c r="E74" s="1" t="s">
        <v>41</v>
      </c>
      <c r="F74" s="1" t="s">
        <v>12</v>
      </c>
      <c r="G74" s="1">
        <v>1.83E-2</v>
      </c>
    </row>
    <row r="77" spans="1:7" x14ac:dyDescent="0.2">
      <c r="A77" s="52" t="s">
        <v>407</v>
      </c>
      <c r="B77" s="15" t="s">
        <v>53</v>
      </c>
      <c r="C77" s="1"/>
    </row>
    <row r="78" spans="1:7" x14ac:dyDescent="0.2">
      <c r="B78" s="2" t="s">
        <v>0</v>
      </c>
      <c r="F78" s="1">
        <v>6.82</v>
      </c>
    </row>
    <row r="79" spans="1:7" x14ac:dyDescent="0.2">
      <c r="B79" s="2" t="s">
        <v>36</v>
      </c>
      <c r="F79" s="1">
        <v>5.3E-3</v>
      </c>
    </row>
    <row r="80" spans="1:7" x14ac:dyDescent="0.2">
      <c r="B80" s="2" t="s">
        <v>37</v>
      </c>
      <c r="F80" s="46" t="s">
        <v>11</v>
      </c>
    </row>
    <row r="81" spans="2:7" x14ac:dyDescent="0.2">
      <c r="B81" s="2" t="s">
        <v>54</v>
      </c>
      <c r="F81" s="46" t="s">
        <v>41</v>
      </c>
    </row>
    <row r="82" spans="2:7" x14ac:dyDescent="0.2">
      <c r="B82" s="2" t="s">
        <v>55</v>
      </c>
      <c r="F82" s="1">
        <v>0.61150000000000004</v>
      </c>
    </row>
    <row r="84" spans="2:7" x14ac:dyDescent="0.2">
      <c r="B84" s="3" t="s">
        <v>44</v>
      </c>
      <c r="C84" s="76"/>
      <c r="D84" s="76"/>
      <c r="E84" s="76"/>
      <c r="F84" s="76"/>
      <c r="G84" s="76"/>
    </row>
    <row r="85" spans="2:7" x14ac:dyDescent="0.2">
      <c r="B85" s="76"/>
      <c r="C85" s="16" t="s">
        <v>45</v>
      </c>
      <c r="D85" s="16" t="s">
        <v>46</v>
      </c>
      <c r="E85" s="16" t="s">
        <v>47</v>
      </c>
      <c r="F85" s="16" t="s">
        <v>48</v>
      </c>
      <c r="G85" s="16" t="s">
        <v>5</v>
      </c>
    </row>
    <row r="86" spans="2:7" x14ac:dyDescent="0.2">
      <c r="B86" s="2" t="s">
        <v>393</v>
      </c>
      <c r="C86" s="1">
        <v>-5.05</v>
      </c>
      <c r="D86" s="1" t="s">
        <v>408</v>
      </c>
      <c r="E86" s="1" t="s">
        <v>49</v>
      </c>
      <c r="F86" s="1" t="s">
        <v>9</v>
      </c>
      <c r="G86" s="1">
        <v>0.12859999999999999</v>
      </c>
    </row>
    <row r="87" spans="2:7" x14ac:dyDescent="0.2">
      <c r="B87" s="2" t="s">
        <v>395</v>
      </c>
      <c r="C87" s="1">
        <v>0.72199999999999998</v>
      </c>
      <c r="D87" s="1" t="s">
        <v>409</v>
      </c>
      <c r="E87" s="1" t="s">
        <v>49</v>
      </c>
      <c r="F87" s="1" t="s">
        <v>9</v>
      </c>
      <c r="G87" s="1">
        <v>0.97809999999999997</v>
      </c>
    </row>
    <row r="88" spans="2:7" x14ac:dyDescent="0.2">
      <c r="B88" s="2" t="s">
        <v>397</v>
      </c>
      <c r="C88" s="1">
        <v>-9.4420000000000002</v>
      </c>
      <c r="D88" s="1" t="s">
        <v>410</v>
      </c>
      <c r="E88" s="1" t="s">
        <v>41</v>
      </c>
      <c r="F88" s="1" t="s">
        <v>11</v>
      </c>
      <c r="G88" s="1">
        <v>7.7000000000000002E-3</v>
      </c>
    </row>
  </sheetData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Q52"/>
  <sheetViews>
    <sheetView zoomScale="71" zoomScaleNormal="71" zoomScalePageLayoutView="71" workbookViewId="0">
      <selection activeCell="M66" sqref="M66"/>
    </sheetView>
  </sheetViews>
  <sheetFormatPr baseColWidth="10" defaultRowHeight="16" x14ac:dyDescent="0.2"/>
  <cols>
    <col min="2" max="2" width="18.83203125" customWidth="1"/>
    <col min="3" max="3" width="14.5" customWidth="1"/>
    <col min="4" max="4" width="11" bestFit="1" customWidth="1"/>
    <col min="8" max="8" width="15.6640625" customWidth="1"/>
  </cols>
  <sheetData>
    <row r="2" spans="1:17" ht="18" x14ac:dyDescent="0.2">
      <c r="A2" s="53" t="s">
        <v>522</v>
      </c>
      <c r="B2" s="121"/>
    </row>
    <row r="4" spans="1:17" ht="18" x14ac:dyDescent="0.2">
      <c r="A4" s="53" t="s">
        <v>482</v>
      </c>
      <c r="B4" s="121"/>
      <c r="C4" s="121"/>
      <c r="D4" s="121"/>
      <c r="E4" s="121"/>
      <c r="F4" s="121"/>
    </row>
    <row r="6" spans="1:17" x14ac:dyDescent="0.2">
      <c r="D6" s="508" t="s">
        <v>469</v>
      </c>
      <c r="E6" s="509"/>
      <c r="F6" s="509"/>
      <c r="G6" s="510"/>
      <c r="H6" s="508" t="s">
        <v>470</v>
      </c>
      <c r="I6" s="509"/>
      <c r="J6" s="509"/>
      <c r="K6" s="510"/>
      <c r="L6" s="508" t="s">
        <v>471</v>
      </c>
      <c r="M6" s="509"/>
      <c r="N6" s="509"/>
      <c r="O6" s="510"/>
    </row>
    <row r="7" spans="1:17" x14ac:dyDescent="0.2">
      <c r="D7" s="18" t="s">
        <v>1</v>
      </c>
      <c r="E7" s="22" t="s">
        <v>2</v>
      </c>
      <c r="F7" s="22" t="s">
        <v>3</v>
      </c>
      <c r="G7" s="22" t="s">
        <v>4</v>
      </c>
      <c r="H7" s="18" t="s">
        <v>1</v>
      </c>
      <c r="I7" s="22" t="s">
        <v>2</v>
      </c>
      <c r="J7" s="22" t="s">
        <v>3</v>
      </c>
      <c r="K7" s="22" t="s">
        <v>4</v>
      </c>
      <c r="L7" s="18" t="s">
        <v>1</v>
      </c>
      <c r="M7" s="22" t="s">
        <v>2</v>
      </c>
      <c r="N7" s="22" t="s">
        <v>3</v>
      </c>
      <c r="O7" s="22" t="s">
        <v>4</v>
      </c>
    </row>
    <row r="8" spans="1:17" x14ac:dyDescent="0.2">
      <c r="C8" s="454" t="s">
        <v>32</v>
      </c>
      <c r="D8" s="122">
        <v>38</v>
      </c>
      <c r="E8" s="122">
        <v>1</v>
      </c>
      <c r="F8" s="122">
        <v>1</v>
      </c>
      <c r="G8" s="122">
        <v>2</v>
      </c>
      <c r="H8" s="122">
        <v>0</v>
      </c>
      <c r="I8" s="122">
        <v>9</v>
      </c>
      <c r="J8" s="122">
        <v>83</v>
      </c>
      <c r="K8" s="122">
        <v>36</v>
      </c>
      <c r="L8" s="122">
        <v>38</v>
      </c>
      <c r="M8" s="122">
        <v>10</v>
      </c>
      <c r="N8" s="122">
        <v>84</v>
      </c>
      <c r="O8" s="122">
        <v>38</v>
      </c>
    </row>
    <row r="9" spans="1:17" ht="15" customHeight="1" x14ac:dyDescent="0.2">
      <c r="C9" s="454" t="s">
        <v>33</v>
      </c>
      <c r="D9" s="122">
        <v>60</v>
      </c>
      <c r="E9" s="122">
        <v>3</v>
      </c>
      <c r="F9" s="122">
        <v>3</v>
      </c>
      <c r="G9" s="122">
        <v>1</v>
      </c>
      <c r="H9" s="122">
        <v>0</v>
      </c>
      <c r="I9" s="122">
        <v>33</v>
      </c>
      <c r="J9" s="122">
        <v>39</v>
      </c>
      <c r="K9" s="122">
        <v>24</v>
      </c>
      <c r="L9" s="122">
        <v>60</v>
      </c>
      <c r="M9" s="122">
        <v>36</v>
      </c>
      <c r="N9" s="122">
        <v>42</v>
      </c>
      <c r="O9" s="122">
        <v>25</v>
      </c>
    </row>
    <row r="10" spans="1:17" x14ac:dyDescent="0.2">
      <c r="C10" s="454" t="s">
        <v>34</v>
      </c>
      <c r="D10" s="122">
        <v>14</v>
      </c>
      <c r="E10" s="122">
        <v>1</v>
      </c>
      <c r="F10" s="122">
        <v>2</v>
      </c>
      <c r="G10" s="122">
        <v>9</v>
      </c>
      <c r="H10" s="122">
        <v>2</v>
      </c>
      <c r="I10" s="122">
        <v>23</v>
      </c>
      <c r="J10" s="122">
        <v>54</v>
      </c>
      <c r="K10" s="122">
        <v>51</v>
      </c>
      <c r="L10" s="122">
        <v>16</v>
      </c>
      <c r="M10" s="122">
        <v>24</v>
      </c>
      <c r="N10" s="122">
        <v>56</v>
      </c>
      <c r="O10" s="122">
        <v>60</v>
      </c>
    </row>
    <row r="11" spans="1:17" x14ac:dyDescent="0.2">
      <c r="L11" s="83">
        <f>SUM(L8:L10)</f>
        <v>114</v>
      </c>
      <c r="M11" s="83">
        <f t="shared" ref="M11:O11" si="0">SUM(M8:M10)</f>
        <v>70</v>
      </c>
      <c r="N11" s="83">
        <f t="shared" si="0"/>
        <v>182</v>
      </c>
      <c r="O11" s="83">
        <f t="shared" si="0"/>
        <v>123</v>
      </c>
    </row>
    <row r="12" spans="1:17" x14ac:dyDescent="0.2">
      <c r="D12" s="508" t="s">
        <v>472</v>
      </c>
      <c r="E12" s="509"/>
      <c r="F12" s="509"/>
      <c r="G12" s="510"/>
      <c r="H12" s="508" t="s">
        <v>473</v>
      </c>
      <c r="I12" s="509"/>
      <c r="J12" s="509"/>
      <c r="K12" s="510"/>
    </row>
    <row r="13" spans="1:17" x14ac:dyDescent="0.2">
      <c r="C13" s="21"/>
      <c r="D13" s="18" t="s">
        <v>1</v>
      </c>
      <c r="E13" s="22" t="s">
        <v>2</v>
      </c>
      <c r="F13" s="22" t="s">
        <v>3</v>
      </c>
      <c r="G13" s="22" t="s">
        <v>4</v>
      </c>
      <c r="H13" s="18" t="s">
        <v>1</v>
      </c>
      <c r="I13" s="22" t="s">
        <v>2</v>
      </c>
      <c r="J13" s="22" t="s">
        <v>3</v>
      </c>
      <c r="K13" s="22" t="s">
        <v>4</v>
      </c>
    </row>
    <row r="14" spans="1:17" x14ac:dyDescent="0.2">
      <c r="C14" s="454" t="s">
        <v>32</v>
      </c>
      <c r="D14" s="123">
        <f>D8*100/L8</f>
        <v>100</v>
      </c>
      <c r="E14" s="123">
        <f t="shared" ref="E14:G16" si="1">E8*100/M8</f>
        <v>10</v>
      </c>
      <c r="F14" s="123">
        <f t="shared" si="1"/>
        <v>1.1904761904761905</v>
      </c>
      <c r="G14" s="123">
        <f t="shared" si="1"/>
        <v>5.2631578947368425</v>
      </c>
      <c r="H14" s="123">
        <f>H8*100/L8</f>
        <v>0</v>
      </c>
      <c r="I14" s="123">
        <f t="shared" ref="I14:K16" si="2">I8*100/M8</f>
        <v>90</v>
      </c>
      <c r="J14" s="123">
        <f t="shared" si="2"/>
        <v>98.80952380952381</v>
      </c>
      <c r="K14" s="123">
        <f t="shared" si="2"/>
        <v>94.736842105263165</v>
      </c>
      <c r="O14" s="125"/>
      <c r="Q14" s="97"/>
    </row>
    <row r="15" spans="1:17" x14ac:dyDescent="0.2">
      <c r="C15" s="454" t="s">
        <v>33</v>
      </c>
      <c r="D15" s="123">
        <f t="shared" ref="D15:D16" si="3">D9*100/L9</f>
        <v>100</v>
      </c>
      <c r="E15" s="123">
        <f t="shared" si="1"/>
        <v>8.3333333333333339</v>
      </c>
      <c r="F15" s="123">
        <f t="shared" si="1"/>
        <v>7.1428571428571432</v>
      </c>
      <c r="G15" s="123">
        <f t="shared" si="1"/>
        <v>4</v>
      </c>
      <c r="H15" s="123">
        <f t="shared" ref="H15:H16" si="4">H9*100/L9</f>
        <v>0</v>
      </c>
      <c r="I15" s="123">
        <f t="shared" si="2"/>
        <v>91.666666666666671</v>
      </c>
      <c r="J15" s="123">
        <f t="shared" si="2"/>
        <v>92.857142857142861</v>
      </c>
      <c r="K15" s="123">
        <f t="shared" si="2"/>
        <v>96</v>
      </c>
      <c r="O15" s="125"/>
      <c r="Q15" s="97"/>
    </row>
    <row r="16" spans="1:17" x14ac:dyDescent="0.2">
      <c r="C16" s="454" t="s">
        <v>34</v>
      </c>
      <c r="D16" s="123">
        <f t="shared" si="3"/>
        <v>87.5</v>
      </c>
      <c r="E16" s="123">
        <f t="shared" si="1"/>
        <v>4.166666666666667</v>
      </c>
      <c r="F16" s="123">
        <f t="shared" si="1"/>
        <v>3.5714285714285716</v>
      </c>
      <c r="G16" s="123">
        <f t="shared" si="1"/>
        <v>15</v>
      </c>
      <c r="H16" s="123">
        <f t="shared" si="4"/>
        <v>12.5</v>
      </c>
      <c r="I16" s="123">
        <f t="shared" si="2"/>
        <v>95.833333333333329</v>
      </c>
      <c r="J16" s="123">
        <f t="shared" si="2"/>
        <v>96.428571428571431</v>
      </c>
      <c r="K16" s="123">
        <f t="shared" si="2"/>
        <v>85</v>
      </c>
      <c r="O16" s="125"/>
      <c r="Q16" s="97"/>
    </row>
    <row r="17" spans="1:17" x14ac:dyDescent="0.2">
      <c r="O17" s="125"/>
      <c r="Q17" s="97"/>
    </row>
    <row r="18" spans="1:17" x14ac:dyDescent="0.2">
      <c r="C18" s="17" t="s">
        <v>51</v>
      </c>
      <c r="D18" s="82">
        <f>AVERAGE(D14:D16)</f>
        <v>95.833333333333329</v>
      </c>
      <c r="E18" s="17">
        <f>AVERAGE(E14:E16)</f>
        <v>7.5000000000000009</v>
      </c>
      <c r="F18" s="17">
        <f t="shared" ref="F18:K18" si="5">AVERAGE(F14:F16)</f>
        <v>3.9682539682539684</v>
      </c>
      <c r="G18" s="17">
        <f t="shared" si="5"/>
        <v>8.0877192982456148</v>
      </c>
      <c r="H18" s="17">
        <f t="shared" si="5"/>
        <v>4.166666666666667</v>
      </c>
      <c r="I18" s="17">
        <f t="shared" si="5"/>
        <v>92.5</v>
      </c>
      <c r="J18" s="17">
        <f t="shared" si="5"/>
        <v>96.031746031746039</v>
      </c>
      <c r="K18" s="17">
        <f t="shared" si="5"/>
        <v>91.912280701754398</v>
      </c>
    </row>
    <row r="19" spans="1:17" x14ac:dyDescent="0.2">
      <c r="C19" s="17" t="s">
        <v>13</v>
      </c>
      <c r="D19" s="17">
        <f>STDEV(D14:D16)</f>
        <v>7.2168783648703219</v>
      </c>
      <c r="E19" s="17">
        <f t="shared" ref="E19:K19" si="6">STDEV(E14:E16)</f>
        <v>3.0046260628866541</v>
      </c>
      <c r="F19" s="17">
        <f t="shared" si="6"/>
        <v>2.9959660457423607</v>
      </c>
      <c r="G19" s="17">
        <f t="shared" si="6"/>
        <v>6.0194360484719471</v>
      </c>
      <c r="H19" s="17">
        <f t="shared" si="6"/>
        <v>7.2168783648703219</v>
      </c>
      <c r="I19" s="17">
        <f t="shared" si="6"/>
        <v>3.0046260628866541</v>
      </c>
      <c r="J19" s="17">
        <f t="shared" si="6"/>
        <v>2.9959660457423589</v>
      </c>
      <c r="K19" s="17">
        <f t="shared" si="6"/>
        <v>6.0194360484719498</v>
      </c>
    </row>
    <row r="20" spans="1:17" x14ac:dyDescent="0.2">
      <c r="C20" s="17" t="s">
        <v>14</v>
      </c>
      <c r="D20" s="17">
        <f>D19/SQRT(3)</f>
        <v>4.166666666666667</v>
      </c>
      <c r="E20" s="17">
        <f t="shared" ref="E20:K20" si="7">E19/SQRT(3)</f>
        <v>1.7347216662217753</v>
      </c>
      <c r="F20" s="17">
        <f t="shared" si="7"/>
        <v>1.7297218029923307</v>
      </c>
      <c r="G20" s="17">
        <f t="shared" si="7"/>
        <v>3.4753230229550161</v>
      </c>
      <c r="H20" s="17">
        <f t="shared" si="7"/>
        <v>4.166666666666667</v>
      </c>
      <c r="I20" s="17">
        <f t="shared" si="7"/>
        <v>1.7347216662217753</v>
      </c>
      <c r="J20" s="17">
        <f t="shared" si="7"/>
        <v>1.7297218029923296</v>
      </c>
      <c r="K20" s="17">
        <f t="shared" si="7"/>
        <v>3.4753230229550178</v>
      </c>
    </row>
    <row r="23" spans="1:17" ht="18" x14ac:dyDescent="0.2">
      <c r="A23" s="52" t="s">
        <v>474</v>
      </c>
      <c r="B23" s="9"/>
      <c r="C23" s="19" t="s">
        <v>52</v>
      </c>
      <c r="D23" s="20"/>
      <c r="E23" s="20"/>
      <c r="F23" s="20"/>
      <c r="G23" s="20"/>
      <c r="H23" s="9"/>
    </row>
    <row r="24" spans="1:17" x14ac:dyDescent="0.2">
      <c r="B24" s="9"/>
      <c r="C24" s="9"/>
      <c r="D24" s="9"/>
      <c r="E24" s="9"/>
      <c r="F24" s="9"/>
      <c r="G24" s="9"/>
      <c r="H24" s="9"/>
    </row>
    <row r="25" spans="1:17" x14ac:dyDescent="0.2">
      <c r="B25" s="9"/>
      <c r="C25" s="15" t="s">
        <v>53</v>
      </c>
      <c r="E25" s="9"/>
      <c r="F25" s="46"/>
      <c r="G25" s="9"/>
      <c r="H25" s="9"/>
    </row>
    <row r="26" spans="1:17" x14ac:dyDescent="0.2">
      <c r="B26" s="9"/>
      <c r="C26" s="2" t="s">
        <v>0</v>
      </c>
      <c r="E26" s="9"/>
      <c r="F26" s="46">
        <v>225.5</v>
      </c>
      <c r="G26" s="9"/>
      <c r="H26" s="9"/>
    </row>
    <row r="27" spans="1:17" x14ac:dyDescent="0.2">
      <c r="B27" s="9"/>
      <c r="C27" s="2" t="s">
        <v>36</v>
      </c>
      <c r="E27" s="9"/>
      <c r="F27" s="46" t="s">
        <v>176</v>
      </c>
      <c r="G27" s="9"/>
      <c r="H27" s="9"/>
    </row>
    <row r="28" spans="1:17" x14ac:dyDescent="0.2">
      <c r="B28" s="9"/>
      <c r="C28" s="2" t="s">
        <v>37</v>
      </c>
      <c r="E28" s="9"/>
      <c r="F28" s="46" t="s">
        <v>10</v>
      </c>
      <c r="G28" s="16"/>
      <c r="H28" s="9"/>
    </row>
    <row r="29" spans="1:17" x14ac:dyDescent="0.2">
      <c r="B29" s="9"/>
      <c r="C29" s="2" t="s">
        <v>54</v>
      </c>
      <c r="E29" s="9"/>
      <c r="F29" s="46" t="s">
        <v>41</v>
      </c>
      <c r="G29" s="1"/>
      <c r="H29" s="9"/>
    </row>
    <row r="30" spans="1:17" x14ac:dyDescent="0.2">
      <c r="B30" s="9"/>
      <c r="C30" s="2" t="s">
        <v>55</v>
      </c>
      <c r="E30" s="9"/>
      <c r="F30" s="46">
        <v>0.98829999999999996</v>
      </c>
      <c r="G30" s="1"/>
      <c r="H30" s="9"/>
    </row>
    <row r="31" spans="1:17" x14ac:dyDescent="0.2">
      <c r="B31" s="9"/>
    </row>
    <row r="32" spans="1:17" x14ac:dyDescent="0.2">
      <c r="B32" s="9"/>
      <c r="C32" s="3" t="s">
        <v>44</v>
      </c>
      <c r="D32" s="47"/>
      <c r="E32" s="47"/>
      <c r="F32" s="138"/>
      <c r="G32" s="47"/>
      <c r="H32" s="47"/>
    </row>
    <row r="33" spans="1:8" x14ac:dyDescent="0.2">
      <c r="B33" s="9"/>
      <c r="C33" s="47"/>
      <c r="D33" s="16" t="s">
        <v>45</v>
      </c>
      <c r="E33" s="16" t="s">
        <v>46</v>
      </c>
      <c r="F33" s="16" t="s">
        <v>47</v>
      </c>
      <c r="G33" s="16" t="s">
        <v>48</v>
      </c>
      <c r="H33" s="16" t="s">
        <v>5</v>
      </c>
    </row>
    <row r="34" spans="1:8" x14ac:dyDescent="0.2">
      <c r="B34" s="9"/>
      <c r="C34" s="2" t="s">
        <v>6</v>
      </c>
      <c r="D34" s="1">
        <v>88.33</v>
      </c>
      <c r="E34" s="1" t="s">
        <v>475</v>
      </c>
      <c r="F34" s="1" t="s">
        <v>41</v>
      </c>
      <c r="G34" s="1" t="s">
        <v>10</v>
      </c>
      <c r="H34" s="46" t="s">
        <v>176</v>
      </c>
    </row>
    <row r="35" spans="1:8" x14ac:dyDescent="0.2">
      <c r="B35" s="9"/>
      <c r="C35" s="2" t="s">
        <v>7</v>
      </c>
      <c r="D35" s="1">
        <v>91.87</v>
      </c>
      <c r="E35" s="1" t="s">
        <v>476</v>
      </c>
      <c r="F35" s="1" t="s">
        <v>41</v>
      </c>
      <c r="G35" s="1" t="s">
        <v>10</v>
      </c>
      <c r="H35" s="46" t="s">
        <v>176</v>
      </c>
    </row>
    <row r="36" spans="1:8" x14ac:dyDescent="0.2">
      <c r="B36" s="9"/>
      <c r="C36" s="2" t="s">
        <v>8</v>
      </c>
      <c r="D36" s="1">
        <v>87.75</v>
      </c>
      <c r="E36" s="1" t="s">
        <v>477</v>
      </c>
      <c r="F36" s="1" t="s">
        <v>41</v>
      </c>
      <c r="G36" s="1" t="s">
        <v>10</v>
      </c>
      <c r="H36" s="46" t="s">
        <v>176</v>
      </c>
    </row>
    <row r="39" spans="1:8" ht="18" x14ac:dyDescent="0.2">
      <c r="A39" s="52" t="s">
        <v>478</v>
      </c>
      <c r="B39" s="9"/>
      <c r="C39" s="19" t="s">
        <v>52</v>
      </c>
      <c r="D39" s="20"/>
      <c r="E39" s="20"/>
      <c r="F39" s="20"/>
      <c r="G39" s="20"/>
    </row>
    <row r="41" spans="1:8" x14ac:dyDescent="0.2">
      <c r="C41" s="15" t="s">
        <v>53</v>
      </c>
      <c r="D41" s="1"/>
    </row>
    <row r="42" spans="1:8" x14ac:dyDescent="0.2">
      <c r="C42" s="2" t="s">
        <v>0</v>
      </c>
      <c r="F42" s="46">
        <v>225.5</v>
      </c>
    </row>
    <row r="43" spans="1:8" x14ac:dyDescent="0.2">
      <c r="C43" s="2" t="s">
        <v>36</v>
      </c>
      <c r="F43" s="46" t="s">
        <v>176</v>
      </c>
    </row>
    <row r="44" spans="1:8" x14ac:dyDescent="0.2">
      <c r="C44" s="2" t="s">
        <v>37</v>
      </c>
      <c r="F44" s="46" t="s">
        <v>10</v>
      </c>
    </row>
    <row r="45" spans="1:8" x14ac:dyDescent="0.2">
      <c r="C45" s="2" t="s">
        <v>54</v>
      </c>
      <c r="F45" s="46" t="s">
        <v>41</v>
      </c>
    </row>
    <row r="46" spans="1:8" x14ac:dyDescent="0.2">
      <c r="C46" s="2" t="s">
        <v>55</v>
      </c>
      <c r="F46" s="46">
        <v>0.98829999999999996</v>
      </c>
    </row>
    <row r="47" spans="1:8" x14ac:dyDescent="0.2">
      <c r="C47" s="3"/>
      <c r="D47" s="16"/>
      <c r="E47" s="47"/>
      <c r="F47" s="47"/>
      <c r="G47" s="47"/>
      <c r="H47" s="47"/>
    </row>
    <row r="48" spans="1:8" x14ac:dyDescent="0.2">
      <c r="C48" s="3" t="s">
        <v>44</v>
      </c>
      <c r="D48" s="76"/>
      <c r="E48" s="76"/>
      <c r="F48" s="76"/>
      <c r="G48" s="76"/>
      <c r="H48" s="76"/>
    </row>
    <row r="49" spans="3:8" x14ac:dyDescent="0.2">
      <c r="C49" s="126"/>
      <c r="D49" s="1" t="s">
        <v>45</v>
      </c>
      <c r="E49" s="1" t="s">
        <v>46</v>
      </c>
      <c r="F49" s="1" t="s">
        <v>47</v>
      </c>
      <c r="G49" s="1" t="s">
        <v>48</v>
      </c>
      <c r="H49" s="1" t="s">
        <v>5</v>
      </c>
    </row>
    <row r="50" spans="3:8" x14ac:dyDescent="0.2">
      <c r="C50" s="2" t="s">
        <v>6</v>
      </c>
      <c r="D50" s="1">
        <v>-88.33</v>
      </c>
      <c r="E50" s="1" t="s">
        <v>479</v>
      </c>
      <c r="F50" s="1" t="s">
        <v>41</v>
      </c>
      <c r="G50" s="1" t="s">
        <v>10</v>
      </c>
      <c r="H50" s="46" t="s">
        <v>176</v>
      </c>
    </row>
    <row r="51" spans="3:8" x14ac:dyDescent="0.2">
      <c r="C51" s="2" t="s">
        <v>7</v>
      </c>
      <c r="D51" s="1">
        <v>-91.87</v>
      </c>
      <c r="E51" s="1" t="s">
        <v>480</v>
      </c>
      <c r="F51" s="1" t="s">
        <v>41</v>
      </c>
      <c r="G51" s="1" t="s">
        <v>10</v>
      </c>
      <c r="H51" s="46" t="s">
        <v>176</v>
      </c>
    </row>
    <row r="52" spans="3:8" x14ac:dyDescent="0.2">
      <c r="C52" s="2" t="s">
        <v>8</v>
      </c>
      <c r="D52" s="1">
        <v>-87.75</v>
      </c>
      <c r="E52" s="1" t="s">
        <v>481</v>
      </c>
      <c r="F52" s="1" t="s">
        <v>41</v>
      </c>
      <c r="G52" s="1" t="s">
        <v>10</v>
      </c>
      <c r="H52" s="46" t="s">
        <v>176</v>
      </c>
    </row>
  </sheetData>
  <mergeCells count="5">
    <mergeCell ref="D6:G6"/>
    <mergeCell ref="H6:K6"/>
    <mergeCell ref="L6:O6"/>
    <mergeCell ref="D12:G12"/>
    <mergeCell ref="H12:K12"/>
  </mergeCells>
  <pageMargins left="0.7" right="0.7" top="0.78740157499999996" bottom="0.78740157499999996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Z138"/>
  <sheetViews>
    <sheetView zoomScale="71" zoomScaleNormal="71" zoomScalePageLayoutView="71" workbookViewId="0">
      <selection activeCell="J38" sqref="J38"/>
    </sheetView>
  </sheetViews>
  <sheetFormatPr baseColWidth="10" defaultRowHeight="16" x14ac:dyDescent="0.2"/>
  <cols>
    <col min="2" max="2" width="18.5" customWidth="1"/>
    <col min="3" max="3" width="14.6640625" customWidth="1"/>
    <col min="5" max="5" width="15.5" customWidth="1"/>
    <col min="8" max="8" width="15.1640625" customWidth="1"/>
    <col min="13" max="13" width="16.33203125" customWidth="1"/>
    <col min="16" max="16" width="17.1640625" customWidth="1"/>
    <col min="17" max="19" width="11" bestFit="1" customWidth="1"/>
  </cols>
  <sheetData>
    <row r="2" spans="1:26" ht="18" x14ac:dyDescent="0.2">
      <c r="A2" s="53" t="s">
        <v>507</v>
      </c>
      <c r="B2" s="121"/>
    </row>
    <row r="4" spans="1:26" ht="18" x14ac:dyDescent="0.2">
      <c r="A4" s="53" t="s">
        <v>508</v>
      </c>
      <c r="B4" s="121"/>
      <c r="C4" s="121"/>
      <c r="D4" s="121"/>
      <c r="E4" s="121"/>
      <c r="F4" s="66"/>
    </row>
    <row r="6" spans="1:26" x14ac:dyDescent="0.2">
      <c r="D6" s="508" t="s">
        <v>443</v>
      </c>
      <c r="E6" s="509"/>
      <c r="F6" s="509"/>
      <c r="G6" s="510"/>
      <c r="H6" s="508" t="s">
        <v>444</v>
      </c>
      <c r="I6" s="509"/>
      <c r="J6" s="509"/>
      <c r="K6" s="510"/>
      <c r="L6" s="508" t="s">
        <v>445</v>
      </c>
      <c r="M6" s="509"/>
      <c r="N6" s="509"/>
      <c r="O6" s="510"/>
      <c r="P6" s="508" t="s">
        <v>446</v>
      </c>
      <c r="Q6" s="509"/>
      <c r="R6" s="509"/>
      <c r="S6" s="510"/>
      <c r="T6" s="508" t="s">
        <v>430</v>
      </c>
      <c r="U6" s="509"/>
      <c r="V6" s="509"/>
      <c r="W6" s="510"/>
    </row>
    <row r="7" spans="1:26" x14ac:dyDescent="0.2">
      <c r="C7" s="21"/>
      <c r="D7" s="18" t="s">
        <v>1</v>
      </c>
      <c r="E7" s="22" t="s">
        <v>2</v>
      </c>
      <c r="F7" s="22" t="s">
        <v>3</v>
      </c>
      <c r="G7" s="22" t="s">
        <v>4</v>
      </c>
      <c r="H7" s="18" t="s">
        <v>1</v>
      </c>
      <c r="I7" s="22" t="s">
        <v>2</v>
      </c>
      <c r="J7" s="22" t="s">
        <v>3</v>
      </c>
      <c r="K7" s="22" t="s">
        <v>4</v>
      </c>
      <c r="L7" s="18" t="s">
        <v>1</v>
      </c>
      <c r="M7" s="22" t="s">
        <v>2</v>
      </c>
      <c r="N7" s="22" t="s">
        <v>3</v>
      </c>
      <c r="O7" s="22" t="s">
        <v>4</v>
      </c>
      <c r="P7" s="18" t="s">
        <v>1</v>
      </c>
      <c r="Q7" s="22" t="s">
        <v>2</v>
      </c>
      <c r="R7" s="22" t="s">
        <v>3</v>
      </c>
      <c r="S7" s="22" t="s">
        <v>4</v>
      </c>
      <c r="T7" s="18" t="s">
        <v>1</v>
      </c>
      <c r="U7" s="22" t="s">
        <v>2</v>
      </c>
      <c r="V7" s="22" t="s">
        <v>3</v>
      </c>
      <c r="W7" s="22" t="s">
        <v>4</v>
      </c>
    </row>
    <row r="8" spans="1:26" x14ac:dyDescent="0.2">
      <c r="C8" s="454" t="s">
        <v>32</v>
      </c>
      <c r="D8" s="122">
        <v>68</v>
      </c>
      <c r="E8" s="122">
        <v>106</v>
      </c>
      <c r="F8" s="122">
        <v>39</v>
      </c>
      <c r="G8" s="122">
        <v>98</v>
      </c>
      <c r="H8" s="122">
        <v>31</v>
      </c>
      <c r="I8" s="122">
        <v>3</v>
      </c>
      <c r="J8" s="122">
        <v>32</v>
      </c>
      <c r="K8" s="122">
        <v>8</v>
      </c>
      <c r="L8" s="122">
        <v>11</v>
      </c>
      <c r="M8" s="122">
        <v>3</v>
      </c>
      <c r="N8" s="122">
        <v>25</v>
      </c>
      <c r="O8" s="122">
        <v>13</v>
      </c>
      <c r="P8" s="122">
        <v>13</v>
      </c>
      <c r="Q8" s="122">
        <v>1</v>
      </c>
      <c r="R8" s="122">
        <v>7</v>
      </c>
      <c r="S8" s="122">
        <v>7</v>
      </c>
      <c r="T8" s="122">
        <f>SUM(D8,H8,L8,P8)</f>
        <v>123</v>
      </c>
      <c r="U8" s="122">
        <f t="shared" ref="U8:W10" si="0">SUM(E8,I8,M8,Q8)</f>
        <v>113</v>
      </c>
      <c r="V8" s="122">
        <f t="shared" si="0"/>
        <v>103</v>
      </c>
      <c r="W8" s="122">
        <f t="shared" si="0"/>
        <v>126</v>
      </c>
    </row>
    <row r="9" spans="1:26" x14ac:dyDescent="0.2">
      <c r="C9" s="454" t="s">
        <v>33</v>
      </c>
      <c r="D9" s="122">
        <v>51</v>
      </c>
      <c r="E9" s="122">
        <v>103</v>
      </c>
      <c r="F9" s="122">
        <v>38</v>
      </c>
      <c r="G9" s="122">
        <v>99</v>
      </c>
      <c r="H9" s="122">
        <v>54</v>
      </c>
      <c r="I9" s="122">
        <v>0</v>
      </c>
      <c r="J9" s="122">
        <v>45</v>
      </c>
      <c r="K9" s="122">
        <v>2</v>
      </c>
      <c r="L9" s="122">
        <v>15</v>
      </c>
      <c r="M9" s="122">
        <v>11</v>
      </c>
      <c r="N9" s="122">
        <v>17</v>
      </c>
      <c r="O9" s="122">
        <v>6</v>
      </c>
      <c r="P9" s="122">
        <v>10</v>
      </c>
      <c r="Q9" s="122">
        <v>5</v>
      </c>
      <c r="R9" s="122">
        <v>11</v>
      </c>
      <c r="S9" s="122">
        <v>3</v>
      </c>
      <c r="T9" s="122">
        <f t="shared" ref="T9:T10" si="1">SUM(D9,H9,L9,P9)</f>
        <v>130</v>
      </c>
      <c r="U9" s="122">
        <f t="shared" si="0"/>
        <v>119</v>
      </c>
      <c r="V9" s="122">
        <f>SUM(F9,J9,N9,R9)</f>
        <v>111</v>
      </c>
      <c r="W9" s="122">
        <f t="shared" si="0"/>
        <v>110</v>
      </c>
    </row>
    <row r="10" spans="1:26" x14ac:dyDescent="0.2">
      <c r="C10" s="454" t="s">
        <v>34</v>
      </c>
      <c r="D10" s="122">
        <v>47</v>
      </c>
      <c r="E10" s="122">
        <v>103</v>
      </c>
      <c r="F10" s="122">
        <v>25</v>
      </c>
      <c r="G10" s="122">
        <v>97</v>
      </c>
      <c r="H10" s="122">
        <v>36</v>
      </c>
      <c r="I10" s="122">
        <v>0</v>
      </c>
      <c r="J10" s="122">
        <v>51</v>
      </c>
      <c r="K10" s="122">
        <v>2</v>
      </c>
      <c r="L10" s="122">
        <v>9</v>
      </c>
      <c r="M10" s="122">
        <v>7</v>
      </c>
      <c r="N10" s="122">
        <v>19</v>
      </c>
      <c r="O10" s="122">
        <v>19</v>
      </c>
      <c r="P10" s="122">
        <v>24</v>
      </c>
      <c r="Q10" s="122">
        <v>5</v>
      </c>
      <c r="R10" s="122">
        <v>13</v>
      </c>
      <c r="S10" s="122">
        <v>3</v>
      </c>
      <c r="T10" s="122">
        <f t="shared" si="1"/>
        <v>116</v>
      </c>
      <c r="U10" s="122">
        <f t="shared" si="0"/>
        <v>115</v>
      </c>
      <c r="V10" s="122">
        <f t="shared" si="0"/>
        <v>108</v>
      </c>
      <c r="W10" s="122">
        <f t="shared" si="0"/>
        <v>121</v>
      </c>
    </row>
    <row r="11" spans="1:26" x14ac:dyDescent="0.2">
      <c r="T11" s="83">
        <f>SUM(T8:T10)</f>
        <v>369</v>
      </c>
      <c r="U11" s="83">
        <f t="shared" ref="U11:W11" si="2">SUM(U8:U10)</f>
        <v>347</v>
      </c>
      <c r="V11" s="83">
        <f t="shared" si="2"/>
        <v>322</v>
      </c>
      <c r="W11" s="83">
        <f t="shared" si="2"/>
        <v>357</v>
      </c>
    </row>
    <row r="12" spans="1:26" x14ac:dyDescent="0.2">
      <c r="D12" s="508" t="s">
        <v>483</v>
      </c>
      <c r="E12" s="509"/>
      <c r="F12" s="509"/>
      <c r="G12" s="510"/>
      <c r="H12" s="508" t="s">
        <v>484</v>
      </c>
      <c r="I12" s="509"/>
      <c r="J12" s="509"/>
      <c r="K12" s="510"/>
      <c r="L12" s="508" t="s">
        <v>485</v>
      </c>
      <c r="M12" s="509"/>
      <c r="N12" s="509"/>
      <c r="O12" s="510"/>
      <c r="P12" s="508" t="s">
        <v>486</v>
      </c>
      <c r="Q12" s="509"/>
      <c r="R12" s="509"/>
      <c r="S12" s="510"/>
    </row>
    <row r="13" spans="1:26" x14ac:dyDescent="0.2">
      <c r="C13" s="21"/>
      <c r="D13" s="18" t="s">
        <v>1</v>
      </c>
      <c r="E13" s="22" t="s">
        <v>2</v>
      </c>
      <c r="F13" s="22" t="s">
        <v>3</v>
      </c>
      <c r="G13" s="22" t="s">
        <v>4</v>
      </c>
      <c r="H13" s="18" t="s">
        <v>1</v>
      </c>
      <c r="I13" s="22" t="s">
        <v>2</v>
      </c>
      <c r="J13" s="22" t="s">
        <v>3</v>
      </c>
      <c r="K13" s="22" t="s">
        <v>4</v>
      </c>
      <c r="L13" s="18" t="s">
        <v>1</v>
      </c>
      <c r="M13" s="22" t="s">
        <v>2</v>
      </c>
      <c r="N13" s="22" t="s">
        <v>3</v>
      </c>
      <c r="O13" s="22" t="s">
        <v>4</v>
      </c>
      <c r="P13" s="18" t="s">
        <v>1</v>
      </c>
      <c r="Q13" s="22" t="s">
        <v>2</v>
      </c>
      <c r="R13" s="22" t="s">
        <v>3</v>
      </c>
      <c r="S13" s="22" t="s">
        <v>4</v>
      </c>
    </row>
    <row r="14" spans="1:26" x14ac:dyDescent="0.2">
      <c r="C14" s="454" t="s">
        <v>32</v>
      </c>
      <c r="D14" s="39">
        <v>59</v>
      </c>
      <c r="E14" s="39">
        <v>56</v>
      </c>
      <c r="F14" s="39">
        <v>33</v>
      </c>
      <c r="G14" s="39">
        <v>63</v>
      </c>
      <c r="H14" s="39">
        <v>11</v>
      </c>
      <c r="I14" s="39">
        <v>3</v>
      </c>
      <c r="J14" s="39">
        <v>22</v>
      </c>
      <c r="K14" s="39">
        <v>5</v>
      </c>
      <c r="L14" s="139">
        <v>4</v>
      </c>
      <c r="M14" s="39">
        <v>3</v>
      </c>
      <c r="N14" s="39">
        <v>20</v>
      </c>
      <c r="O14" s="39">
        <v>10</v>
      </c>
      <c r="P14" s="39">
        <v>8</v>
      </c>
      <c r="Q14" s="39">
        <v>1</v>
      </c>
      <c r="R14" s="39">
        <v>6</v>
      </c>
      <c r="S14" s="39">
        <v>5</v>
      </c>
    </row>
    <row r="15" spans="1:26" x14ac:dyDescent="0.2">
      <c r="C15" s="454" t="s">
        <v>33</v>
      </c>
      <c r="D15" s="39">
        <v>35</v>
      </c>
      <c r="E15" s="39">
        <v>72</v>
      </c>
      <c r="F15" s="39">
        <v>23</v>
      </c>
      <c r="G15" s="39">
        <v>53</v>
      </c>
      <c r="H15" s="39">
        <v>32</v>
      </c>
      <c r="I15" s="39">
        <v>0</v>
      </c>
      <c r="J15" s="39">
        <v>35</v>
      </c>
      <c r="K15" s="39">
        <v>1</v>
      </c>
      <c r="L15" s="139">
        <v>4</v>
      </c>
      <c r="M15" s="39">
        <v>10</v>
      </c>
      <c r="N15" s="39">
        <v>8</v>
      </c>
      <c r="O15" s="39">
        <v>5</v>
      </c>
      <c r="P15" s="39">
        <v>9</v>
      </c>
      <c r="Q15" s="39">
        <v>3</v>
      </c>
      <c r="R15" s="39">
        <v>8</v>
      </c>
      <c r="S15" s="39">
        <v>2</v>
      </c>
      <c r="W15" s="140"/>
      <c r="X15" s="140"/>
      <c r="Y15" s="140"/>
      <c r="Z15" s="140"/>
    </row>
    <row r="16" spans="1:26" x14ac:dyDescent="0.2">
      <c r="C16" s="454" t="s">
        <v>34</v>
      </c>
      <c r="D16" s="39">
        <v>38</v>
      </c>
      <c r="E16" s="39">
        <v>68</v>
      </c>
      <c r="F16" s="39">
        <v>15</v>
      </c>
      <c r="G16" s="39">
        <v>69</v>
      </c>
      <c r="H16" s="39">
        <v>20</v>
      </c>
      <c r="I16" s="39">
        <v>0</v>
      </c>
      <c r="J16" s="39">
        <v>28</v>
      </c>
      <c r="K16" s="39">
        <v>1</v>
      </c>
      <c r="L16" s="139">
        <v>3</v>
      </c>
      <c r="M16" s="39">
        <v>6</v>
      </c>
      <c r="N16" s="39">
        <v>12</v>
      </c>
      <c r="O16" s="39">
        <v>11</v>
      </c>
      <c r="P16" s="39">
        <v>16</v>
      </c>
      <c r="Q16" s="39">
        <v>2</v>
      </c>
      <c r="R16" s="39">
        <v>9</v>
      </c>
      <c r="S16" s="39">
        <v>2</v>
      </c>
      <c r="W16" s="140"/>
      <c r="X16" s="140"/>
      <c r="Y16" s="140"/>
      <c r="Z16" s="140"/>
    </row>
    <row r="17" spans="1:26" x14ac:dyDescent="0.2">
      <c r="C17" s="9"/>
      <c r="D17" s="9"/>
      <c r="E17" s="9"/>
      <c r="F17" s="9"/>
      <c r="G17" s="9"/>
      <c r="W17" s="140"/>
      <c r="X17" s="140"/>
      <c r="Y17" s="140"/>
      <c r="Z17" s="140"/>
    </row>
    <row r="18" spans="1:26" x14ac:dyDescent="0.2">
      <c r="D18" s="508" t="s">
        <v>487</v>
      </c>
      <c r="E18" s="509"/>
      <c r="F18" s="509"/>
      <c r="G18" s="510"/>
      <c r="H18" s="508" t="s">
        <v>488</v>
      </c>
      <c r="I18" s="509"/>
      <c r="J18" s="509"/>
      <c r="K18" s="510"/>
      <c r="L18" s="508" t="s">
        <v>489</v>
      </c>
      <c r="M18" s="509"/>
      <c r="N18" s="509"/>
      <c r="O18" s="510"/>
      <c r="P18" s="508" t="s">
        <v>490</v>
      </c>
      <c r="Q18" s="509"/>
      <c r="R18" s="509"/>
      <c r="S18" s="510"/>
      <c r="W18" s="140"/>
      <c r="X18" s="140"/>
      <c r="Y18" s="140"/>
      <c r="Z18" s="140"/>
    </row>
    <row r="19" spans="1:26" x14ac:dyDescent="0.2">
      <c r="C19" s="21"/>
      <c r="D19" s="18" t="s">
        <v>1</v>
      </c>
      <c r="E19" s="22" t="s">
        <v>2</v>
      </c>
      <c r="F19" s="22" t="s">
        <v>3</v>
      </c>
      <c r="G19" s="22" t="s">
        <v>4</v>
      </c>
      <c r="H19" s="18" t="s">
        <v>1</v>
      </c>
      <c r="I19" s="22" t="s">
        <v>2</v>
      </c>
      <c r="J19" s="22" t="s">
        <v>3</v>
      </c>
      <c r="K19" s="22" t="s">
        <v>4</v>
      </c>
      <c r="L19" s="18" t="s">
        <v>1</v>
      </c>
      <c r="M19" s="22" t="s">
        <v>2</v>
      </c>
      <c r="N19" s="22" t="s">
        <v>3</v>
      </c>
      <c r="O19" s="22" t="s">
        <v>4</v>
      </c>
      <c r="P19" s="18" t="s">
        <v>1</v>
      </c>
      <c r="Q19" s="22" t="s">
        <v>2</v>
      </c>
      <c r="R19" s="22" t="s">
        <v>3</v>
      </c>
      <c r="S19" s="22" t="s">
        <v>4</v>
      </c>
      <c r="U19" s="141"/>
      <c r="V19" s="141"/>
      <c r="W19" s="58"/>
    </row>
    <row r="20" spans="1:26" x14ac:dyDescent="0.2">
      <c r="C20" s="454" t="s">
        <v>32</v>
      </c>
      <c r="D20" s="39">
        <f>D14*100/D8</f>
        <v>86.764705882352942</v>
      </c>
      <c r="E20" s="39">
        <f t="shared" ref="E20:G20" si="3">E14*100/E8</f>
        <v>52.830188679245282</v>
      </c>
      <c r="F20" s="39">
        <f t="shared" si="3"/>
        <v>84.615384615384613</v>
      </c>
      <c r="G20" s="39">
        <f t="shared" si="3"/>
        <v>64.285714285714292</v>
      </c>
      <c r="H20" s="39">
        <f>H14*100/H8</f>
        <v>35.483870967741936</v>
      </c>
      <c r="I20" s="39">
        <f t="shared" ref="I20:L22" si="4">I14*100/I8</f>
        <v>100</v>
      </c>
      <c r="J20" s="39">
        <f t="shared" si="4"/>
        <v>68.75</v>
      </c>
      <c r="K20" s="39">
        <f t="shared" si="4"/>
        <v>62.5</v>
      </c>
      <c r="L20" s="4">
        <f>L14*100/L8</f>
        <v>36.363636363636367</v>
      </c>
      <c r="M20" s="4">
        <f t="shared" ref="M20:S22" si="5">M14*100/M8</f>
        <v>100</v>
      </c>
      <c r="N20" s="4">
        <f t="shared" si="5"/>
        <v>80</v>
      </c>
      <c r="O20" s="4">
        <f t="shared" si="5"/>
        <v>76.92307692307692</v>
      </c>
      <c r="P20" s="39">
        <f>P14*100/P8</f>
        <v>61.53846153846154</v>
      </c>
      <c r="Q20" s="39">
        <f>Q14*100/Q8</f>
        <v>100</v>
      </c>
      <c r="R20" s="39">
        <f t="shared" ref="R20:S20" si="6">R14*100/R8</f>
        <v>85.714285714285708</v>
      </c>
      <c r="S20" s="39">
        <f t="shared" si="6"/>
        <v>71.428571428571431</v>
      </c>
      <c r="U20" s="141"/>
      <c r="V20" s="141"/>
      <c r="W20" s="58"/>
    </row>
    <row r="21" spans="1:26" x14ac:dyDescent="0.2">
      <c r="C21" s="454" t="s">
        <v>33</v>
      </c>
      <c r="D21" s="39">
        <f t="shared" ref="D21:H22" si="7">D15*100/D9</f>
        <v>68.627450980392155</v>
      </c>
      <c r="E21" s="39">
        <f t="shared" si="7"/>
        <v>69.902912621359221</v>
      </c>
      <c r="F21" s="39">
        <f t="shared" si="7"/>
        <v>60.526315789473685</v>
      </c>
      <c r="G21" s="39">
        <f t="shared" si="7"/>
        <v>53.535353535353536</v>
      </c>
      <c r="H21" s="39">
        <f t="shared" si="7"/>
        <v>59.25925925925926</v>
      </c>
      <c r="I21" s="39">
        <v>0</v>
      </c>
      <c r="J21" s="39">
        <f t="shared" si="4"/>
        <v>77.777777777777771</v>
      </c>
      <c r="K21" s="39">
        <f t="shared" si="4"/>
        <v>50</v>
      </c>
      <c r="L21" s="4">
        <f t="shared" si="4"/>
        <v>26.666666666666668</v>
      </c>
      <c r="M21" s="4">
        <f t="shared" si="5"/>
        <v>90.909090909090907</v>
      </c>
      <c r="N21" s="4">
        <f t="shared" si="5"/>
        <v>47.058823529411768</v>
      </c>
      <c r="O21" s="4">
        <f t="shared" si="5"/>
        <v>83.333333333333329</v>
      </c>
      <c r="P21" s="39">
        <f t="shared" si="5"/>
        <v>90</v>
      </c>
      <c r="Q21" s="39">
        <f t="shared" si="5"/>
        <v>60</v>
      </c>
      <c r="R21" s="39">
        <f t="shared" si="5"/>
        <v>72.727272727272734</v>
      </c>
      <c r="S21" s="39">
        <f t="shared" si="5"/>
        <v>66.666666666666671</v>
      </c>
      <c r="U21" s="141"/>
      <c r="W21" s="58"/>
    </row>
    <row r="22" spans="1:26" x14ac:dyDescent="0.2">
      <c r="C22" s="454" t="s">
        <v>34</v>
      </c>
      <c r="D22" s="39">
        <f t="shared" si="7"/>
        <v>80.851063829787236</v>
      </c>
      <c r="E22" s="39">
        <f t="shared" si="7"/>
        <v>66.019417475728162</v>
      </c>
      <c r="F22" s="39">
        <f t="shared" si="7"/>
        <v>60</v>
      </c>
      <c r="G22" s="39">
        <f t="shared" si="7"/>
        <v>71.134020618556704</v>
      </c>
      <c r="H22" s="39">
        <f t="shared" si="7"/>
        <v>55.555555555555557</v>
      </c>
      <c r="I22" s="39">
        <v>0</v>
      </c>
      <c r="J22" s="39">
        <f t="shared" si="4"/>
        <v>54.901960784313722</v>
      </c>
      <c r="K22" s="39">
        <f t="shared" si="4"/>
        <v>50</v>
      </c>
      <c r="L22" s="4">
        <f t="shared" si="4"/>
        <v>33.333333333333336</v>
      </c>
      <c r="M22" s="4">
        <f t="shared" si="5"/>
        <v>85.714285714285708</v>
      </c>
      <c r="N22" s="4">
        <f t="shared" si="5"/>
        <v>63.157894736842103</v>
      </c>
      <c r="O22" s="4">
        <f t="shared" si="5"/>
        <v>57.89473684210526</v>
      </c>
      <c r="P22" s="39">
        <f t="shared" si="5"/>
        <v>66.666666666666671</v>
      </c>
      <c r="Q22" s="39">
        <f t="shared" si="5"/>
        <v>40</v>
      </c>
      <c r="R22" s="39">
        <f t="shared" si="5"/>
        <v>69.230769230769226</v>
      </c>
      <c r="S22" s="39">
        <f t="shared" si="5"/>
        <v>66.666666666666671</v>
      </c>
      <c r="U22" s="58"/>
      <c r="W22" s="58"/>
      <c r="X22" s="58"/>
      <c r="Y22" s="58"/>
      <c r="Z22" s="58"/>
    </row>
    <row r="23" spans="1:26" x14ac:dyDescent="0.2">
      <c r="U23" s="58"/>
      <c r="W23" s="58"/>
      <c r="X23" s="58"/>
      <c r="Y23" s="58"/>
      <c r="Z23" s="58"/>
    </row>
    <row r="24" spans="1:26" x14ac:dyDescent="0.2">
      <c r="C24" s="17" t="s">
        <v>51</v>
      </c>
      <c r="D24" s="82">
        <f>AVERAGE(D20:D22)</f>
        <v>78.747740230844101</v>
      </c>
      <c r="E24" s="17">
        <f>AVERAGE(E20:E22)</f>
        <v>62.917506258777557</v>
      </c>
      <c r="F24" s="17">
        <f t="shared" ref="F24:S24" si="8">AVERAGE(F20:F22)</f>
        <v>68.380566801619423</v>
      </c>
      <c r="G24" s="17">
        <f t="shared" si="8"/>
        <v>62.985029479874846</v>
      </c>
      <c r="H24" s="17">
        <f t="shared" si="8"/>
        <v>50.099561927518913</v>
      </c>
      <c r="I24" s="17">
        <f t="shared" si="8"/>
        <v>33.333333333333336</v>
      </c>
      <c r="J24" s="17">
        <f t="shared" si="8"/>
        <v>67.143246187363829</v>
      </c>
      <c r="K24" s="17">
        <f t="shared" si="8"/>
        <v>54.166666666666664</v>
      </c>
      <c r="L24" s="17">
        <f t="shared" si="8"/>
        <v>32.121212121212125</v>
      </c>
      <c r="M24" s="17">
        <f t="shared" si="8"/>
        <v>92.207792207792195</v>
      </c>
      <c r="N24" s="17">
        <f t="shared" si="8"/>
        <v>63.405572755417957</v>
      </c>
      <c r="O24" s="17">
        <f t="shared" si="8"/>
        <v>72.717049032838503</v>
      </c>
      <c r="P24" s="17">
        <f t="shared" si="8"/>
        <v>72.73504273504274</v>
      </c>
      <c r="Q24" s="17">
        <f t="shared" si="8"/>
        <v>66.666666666666671</v>
      </c>
      <c r="R24" s="17">
        <f t="shared" si="8"/>
        <v>75.890775890775885</v>
      </c>
      <c r="S24" s="17">
        <f t="shared" si="8"/>
        <v>68.253968253968253</v>
      </c>
      <c r="U24" s="58"/>
      <c r="W24" s="58"/>
      <c r="X24" s="58"/>
      <c r="Y24" s="58"/>
      <c r="Z24" s="58"/>
    </row>
    <row r="25" spans="1:26" x14ac:dyDescent="0.2">
      <c r="C25" s="17" t="s">
        <v>13</v>
      </c>
      <c r="D25" s="17">
        <f>STDEV(D20:D22)</f>
        <v>9.2497557516984443</v>
      </c>
      <c r="E25" s="17">
        <f t="shared" ref="E25:S25" si="9">STDEV(E20:E22)</f>
        <v>8.9490706556206003</v>
      </c>
      <c r="F25" s="17">
        <f t="shared" si="9"/>
        <v>14.062227212009271</v>
      </c>
      <c r="G25" s="17">
        <f t="shared" si="9"/>
        <v>8.8711389629212523</v>
      </c>
      <c r="H25" s="17">
        <f t="shared" si="9"/>
        <v>12.79230909394343</v>
      </c>
      <c r="I25" s="17">
        <f t="shared" si="9"/>
        <v>57.735026918962575</v>
      </c>
      <c r="J25" s="17">
        <f t="shared" si="9"/>
        <v>11.522239111406691</v>
      </c>
      <c r="K25" s="17">
        <f t="shared" si="9"/>
        <v>7.2168783648703014</v>
      </c>
      <c r="L25" s="17">
        <f t="shared" si="9"/>
        <v>4.9608198617408661</v>
      </c>
      <c r="M25" s="17">
        <f t="shared" si="9"/>
        <v>7.2308628088701612</v>
      </c>
      <c r="N25" s="17">
        <f t="shared" si="9"/>
        <v>16.471984856636801</v>
      </c>
      <c r="O25" s="17">
        <f t="shared" si="9"/>
        <v>13.230591476611227</v>
      </c>
      <c r="P25" s="17">
        <f t="shared" si="9"/>
        <v>15.170157678146818</v>
      </c>
      <c r="Q25" s="17">
        <f t="shared" si="9"/>
        <v>30.55050463303893</v>
      </c>
      <c r="R25" s="17">
        <f t="shared" si="9"/>
        <v>8.6851823881085384</v>
      </c>
      <c r="S25" s="17">
        <f t="shared" si="9"/>
        <v>2.7492869961410737</v>
      </c>
      <c r="U25" s="58"/>
      <c r="W25" s="58"/>
      <c r="X25" s="58"/>
      <c r="Y25" s="58"/>
      <c r="Z25" s="58"/>
    </row>
    <row r="26" spans="1:26" x14ac:dyDescent="0.2">
      <c r="C26" s="17" t="s">
        <v>14</v>
      </c>
      <c r="D26" s="17">
        <f>D25/SQRT(3)</f>
        <v>5.3403489731813867</v>
      </c>
      <c r="E26" s="17">
        <f t="shared" ref="E26:S26" si="10">E25/SQRT(3)</f>
        <v>5.1667483520195345</v>
      </c>
      <c r="F26" s="17">
        <f t="shared" si="10"/>
        <v>8.1188306662592336</v>
      </c>
      <c r="G26" s="17">
        <f t="shared" si="10"/>
        <v>5.1217544682611624</v>
      </c>
      <c r="H26" s="17">
        <f t="shared" si="10"/>
        <v>7.3856430989451374</v>
      </c>
      <c r="I26" s="17">
        <f t="shared" si="10"/>
        <v>33.333333333333336</v>
      </c>
      <c r="J26" s="17">
        <f t="shared" si="10"/>
        <v>6.6523678526378873</v>
      </c>
      <c r="K26" s="17">
        <f t="shared" si="10"/>
        <v>4.1666666666666554</v>
      </c>
      <c r="L26" s="17">
        <f t="shared" si="10"/>
        <v>2.8641306825773314</v>
      </c>
      <c r="M26" s="17">
        <f t="shared" si="10"/>
        <v>4.1747405891744416</v>
      </c>
      <c r="N26" s="17">
        <f t="shared" si="10"/>
        <v>9.5101048910666979</v>
      </c>
      <c r="O26" s="17">
        <f t="shared" si="10"/>
        <v>7.6386855505594609</v>
      </c>
      <c r="P26" s="17">
        <f t="shared" si="10"/>
        <v>8.7584946191271342</v>
      </c>
      <c r="Q26" s="17">
        <f t="shared" si="10"/>
        <v>17.638342073763937</v>
      </c>
      <c r="R26" s="17">
        <f t="shared" si="10"/>
        <v>5.0143923897354616</v>
      </c>
      <c r="S26" s="17">
        <f t="shared" si="10"/>
        <v>1.5873015873015865</v>
      </c>
      <c r="U26" s="58"/>
      <c r="V26" s="58"/>
      <c r="W26" s="58"/>
    </row>
    <row r="27" spans="1:26" x14ac:dyDescent="0.2"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U27" s="58"/>
      <c r="V27" s="141"/>
      <c r="W27" s="58"/>
    </row>
    <row r="28" spans="1:26" x14ac:dyDescent="0.2">
      <c r="C28" s="129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</row>
    <row r="29" spans="1:26" ht="18" x14ac:dyDescent="0.2">
      <c r="A29" s="52" t="s">
        <v>491</v>
      </c>
      <c r="B29" s="9"/>
      <c r="C29" s="19" t="s">
        <v>52</v>
      </c>
      <c r="D29" s="20"/>
      <c r="E29" s="20"/>
      <c r="F29" s="20"/>
      <c r="G29" s="20"/>
      <c r="H29" s="42"/>
      <c r="I29" s="66"/>
      <c r="J29" s="66"/>
      <c r="K29" s="135"/>
      <c r="L29" s="66"/>
      <c r="M29" s="66"/>
      <c r="N29" s="66"/>
      <c r="O29" s="66"/>
      <c r="P29" s="66"/>
      <c r="Q29" s="66"/>
      <c r="R29" s="66"/>
      <c r="S29" s="66"/>
      <c r="T29" s="66"/>
      <c r="U29" s="66"/>
    </row>
    <row r="30" spans="1:26" x14ac:dyDescent="0.2">
      <c r="B30" s="9"/>
      <c r="C30" s="42"/>
      <c r="D30" s="42"/>
      <c r="E30" s="42"/>
      <c r="F30" s="42"/>
      <c r="G30" s="42"/>
      <c r="H30" s="42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</row>
    <row r="31" spans="1:26" x14ac:dyDescent="0.2">
      <c r="B31" s="9"/>
      <c r="C31" s="15" t="s">
        <v>53</v>
      </c>
      <c r="D31" s="49"/>
      <c r="E31" s="66"/>
      <c r="F31" s="66"/>
      <c r="G31" s="50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</row>
    <row r="32" spans="1:26" x14ac:dyDescent="0.2">
      <c r="B32" s="9"/>
      <c r="C32" s="131" t="s">
        <v>0</v>
      </c>
      <c r="D32" s="66"/>
      <c r="E32" s="66"/>
      <c r="F32" s="66"/>
      <c r="G32" s="50">
        <v>1.5049999999999999</v>
      </c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</row>
    <row r="33" spans="1:21" x14ac:dyDescent="0.2">
      <c r="B33" s="9"/>
      <c r="C33" s="131" t="s">
        <v>36</v>
      </c>
      <c r="D33" s="66"/>
      <c r="E33" s="66"/>
      <c r="F33" s="66"/>
      <c r="G33" s="50">
        <v>0.28560000000000002</v>
      </c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</row>
    <row r="34" spans="1:21" x14ac:dyDescent="0.2">
      <c r="B34" s="9"/>
      <c r="C34" s="131" t="s">
        <v>37</v>
      </c>
      <c r="D34" s="66"/>
      <c r="E34" s="66"/>
      <c r="F34" s="66"/>
      <c r="G34" s="50" t="s">
        <v>9</v>
      </c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</row>
    <row r="35" spans="1:21" x14ac:dyDescent="0.2">
      <c r="B35" s="9"/>
      <c r="C35" s="131" t="s">
        <v>54</v>
      </c>
      <c r="D35" s="66"/>
      <c r="E35" s="66"/>
      <c r="F35" s="66"/>
      <c r="G35" s="50" t="s">
        <v>49</v>
      </c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</row>
    <row r="36" spans="1:21" x14ac:dyDescent="0.2">
      <c r="B36" s="9"/>
      <c r="C36" s="131" t="s">
        <v>55</v>
      </c>
      <c r="D36" s="66"/>
      <c r="E36" s="66"/>
      <c r="F36" s="66"/>
      <c r="G36" s="50">
        <v>0.36080000000000001</v>
      </c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</row>
    <row r="37" spans="1:21" x14ac:dyDescent="0.2">
      <c r="B37" s="9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</row>
    <row r="38" spans="1:21" x14ac:dyDescent="0.2">
      <c r="B38" s="9"/>
      <c r="C38" s="130" t="s">
        <v>44</v>
      </c>
      <c r="D38" s="98"/>
      <c r="E38" s="98"/>
      <c r="F38" s="98"/>
      <c r="G38" s="98"/>
      <c r="H38" s="98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</row>
    <row r="39" spans="1:21" x14ac:dyDescent="0.2">
      <c r="B39" s="9"/>
      <c r="C39" s="133"/>
      <c r="D39" s="136" t="s">
        <v>45</v>
      </c>
      <c r="E39" s="136" t="s">
        <v>46</v>
      </c>
      <c r="F39" s="136" t="s">
        <v>47</v>
      </c>
      <c r="G39" s="136" t="s">
        <v>48</v>
      </c>
      <c r="H39" s="136" t="s">
        <v>5</v>
      </c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</row>
    <row r="40" spans="1:21" x14ac:dyDescent="0.2">
      <c r="B40" s="9"/>
      <c r="C40" s="131" t="s">
        <v>6</v>
      </c>
      <c r="D40" s="49">
        <v>15.83</v>
      </c>
      <c r="E40" s="49" t="s">
        <v>492</v>
      </c>
      <c r="F40" s="49" t="s">
        <v>49</v>
      </c>
      <c r="G40" s="49" t="s">
        <v>9</v>
      </c>
      <c r="H40" s="49">
        <v>0.2281</v>
      </c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</row>
    <row r="41" spans="1:21" x14ac:dyDescent="0.2">
      <c r="B41" s="9"/>
      <c r="C41" s="131" t="s">
        <v>7</v>
      </c>
      <c r="D41" s="49">
        <v>10.36</v>
      </c>
      <c r="E41" s="49" t="s">
        <v>493</v>
      </c>
      <c r="F41" s="49" t="s">
        <v>49</v>
      </c>
      <c r="G41" s="49" t="s">
        <v>9</v>
      </c>
      <c r="H41" s="49">
        <v>0.51729999999999998</v>
      </c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</row>
    <row r="42" spans="1:21" x14ac:dyDescent="0.2">
      <c r="B42" s="9"/>
      <c r="C42" s="131" t="s">
        <v>8</v>
      </c>
      <c r="D42" s="49">
        <v>15.76</v>
      </c>
      <c r="E42" s="49" t="s">
        <v>494</v>
      </c>
      <c r="F42" s="49" t="s">
        <v>49</v>
      </c>
      <c r="G42" s="49" t="s">
        <v>9</v>
      </c>
      <c r="H42" s="49">
        <v>0.2306</v>
      </c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</row>
    <row r="43" spans="1:21" x14ac:dyDescent="0.2">
      <c r="C43" s="131"/>
      <c r="D43" s="49"/>
      <c r="E43" s="49"/>
      <c r="F43" s="49"/>
      <c r="G43" s="49"/>
      <c r="H43" s="50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</row>
    <row r="44" spans="1:21" x14ac:dyDescent="0.2"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</row>
    <row r="45" spans="1:21" ht="18" x14ac:dyDescent="0.2">
      <c r="A45" s="52" t="s">
        <v>495</v>
      </c>
      <c r="B45" s="9"/>
      <c r="C45" s="19" t="s">
        <v>52</v>
      </c>
      <c r="D45" s="20"/>
      <c r="E45" s="20"/>
      <c r="F45" s="20"/>
      <c r="G45" s="20"/>
      <c r="H45" s="42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</row>
    <row r="46" spans="1:21" x14ac:dyDescent="0.2">
      <c r="B46" s="9"/>
      <c r="C46" s="42"/>
      <c r="D46" s="42"/>
      <c r="E46" s="42"/>
      <c r="F46" s="42"/>
      <c r="G46" s="42"/>
      <c r="H46" s="42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</row>
    <row r="47" spans="1:21" x14ac:dyDescent="0.2">
      <c r="B47" s="9"/>
      <c r="C47" s="15" t="s">
        <v>53</v>
      </c>
      <c r="D47" s="49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</row>
    <row r="48" spans="1:21" x14ac:dyDescent="0.2">
      <c r="B48" s="9"/>
      <c r="C48" s="131" t="s">
        <v>0</v>
      </c>
      <c r="D48" s="66"/>
      <c r="E48" s="66"/>
      <c r="F48" s="66"/>
      <c r="G48" s="50">
        <v>0.63380000000000003</v>
      </c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</row>
    <row r="49" spans="1:21" x14ac:dyDescent="0.2">
      <c r="B49" s="9"/>
      <c r="C49" s="131" t="s">
        <v>36</v>
      </c>
      <c r="D49" s="66"/>
      <c r="E49" s="66"/>
      <c r="F49" s="66"/>
      <c r="G49" s="50">
        <v>0.61380000000000001</v>
      </c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</row>
    <row r="50" spans="1:21" x14ac:dyDescent="0.2">
      <c r="B50" s="9"/>
      <c r="C50" s="131" t="s">
        <v>37</v>
      </c>
      <c r="D50" s="66"/>
      <c r="E50" s="66"/>
      <c r="F50" s="66"/>
      <c r="G50" s="50" t="s">
        <v>9</v>
      </c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</row>
    <row r="51" spans="1:21" x14ac:dyDescent="0.2">
      <c r="B51" s="9"/>
      <c r="C51" s="131" t="s">
        <v>54</v>
      </c>
      <c r="D51" s="66"/>
      <c r="E51" s="66"/>
      <c r="F51" s="66"/>
      <c r="G51" s="50" t="s">
        <v>49</v>
      </c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</row>
    <row r="52" spans="1:21" x14ac:dyDescent="0.2">
      <c r="B52" s="9"/>
      <c r="C52" s="131" t="s">
        <v>55</v>
      </c>
      <c r="D52" s="66"/>
      <c r="E52" s="66"/>
      <c r="F52" s="66"/>
      <c r="G52" s="50">
        <v>0.192</v>
      </c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</row>
    <row r="53" spans="1:21" x14ac:dyDescent="0.2">
      <c r="B53" s="9"/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</row>
    <row r="54" spans="1:21" x14ac:dyDescent="0.2">
      <c r="B54" s="9"/>
      <c r="C54" s="130" t="s">
        <v>44</v>
      </c>
      <c r="D54" s="98"/>
      <c r="E54" s="98"/>
      <c r="F54" s="98"/>
      <c r="G54" s="98"/>
      <c r="H54" s="98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</row>
    <row r="55" spans="1:21" x14ac:dyDescent="0.2">
      <c r="B55" s="9"/>
      <c r="C55" s="133"/>
      <c r="D55" s="136" t="s">
        <v>45</v>
      </c>
      <c r="E55" s="136" t="s">
        <v>46</v>
      </c>
      <c r="F55" s="136" t="s">
        <v>47</v>
      </c>
      <c r="G55" s="136" t="s">
        <v>48</v>
      </c>
      <c r="H55" s="136" t="s">
        <v>5</v>
      </c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</row>
    <row r="56" spans="1:21" x14ac:dyDescent="0.2">
      <c r="B56" s="9"/>
      <c r="C56" s="131" t="s">
        <v>6</v>
      </c>
      <c r="D56" s="49">
        <v>16.77</v>
      </c>
      <c r="E56" s="49" t="s">
        <v>496</v>
      </c>
      <c r="F56" s="49" t="s">
        <v>49</v>
      </c>
      <c r="G56" s="49" t="s">
        <v>9</v>
      </c>
      <c r="H56" s="49">
        <v>0.83899999999999997</v>
      </c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</row>
    <row r="57" spans="1:21" x14ac:dyDescent="0.2">
      <c r="B57" s="9"/>
      <c r="C57" s="131" t="s">
        <v>7</v>
      </c>
      <c r="D57" s="49">
        <v>-17.04</v>
      </c>
      <c r="E57" s="49" t="s">
        <v>497</v>
      </c>
      <c r="F57" s="49" t="s">
        <v>49</v>
      </c>
      <c r="G57" s="49" t="s">
        <v>9</v>
      </c>
      <c r="H57" s="49">
        <v>0.83289999999999997</v>
      </c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</row>
    <row r="58" spans="1:21" x14ac:dyDescent="0.2">
      <c r="B58" s="9"/>
      <c r="C58" s="131" t="s">
        <v>8</v>
      </c>
      <c r="D58" s="49">
        <v>-4.0670000000000002</v>
      </c>
      <c r="E58" s="49" t="s">
        <v>498</v>
      </c>
      <c r="F58" s="49" t="s">
        <v>49</v>
      </c>
      <c r="G58" s="49" t="s">
        <v>9</v>
      </c>
      <c r="H58" s="49">
        <v>0.99660000000000004</v>
      </c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</row>
    <row r="59" spans="1:21" x14ac:dyDescent="0.2"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</row>
    <row r="60" spans="1:21" x14ac:dyDescent="0.2"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</row>
    <row r="61" spans="1:21" ht="18" x14ac:dyDescent="0.2">
      <c r="A61" s="52" t="s">
        <v>499</v>
      </c>
      <c r="B61" s="9"/>
      <c r="C61" s="19" t="s">
        <v>52</v>
      </c>
      <c r="D61" s="20"/>
      <c r="E61" s="20"/>
      <c r="F61" s="20"/>
      <c r="G61" s="20"/>
      <c r="H61" s="42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</row>
    <row r="62" spans="1:21" x14ac:dyDescent="0.2">
      <c r="B62" s="9"/>
      <c r="C62" s="42"/>
      <c r="D62" s="42"/>
      <c r="E62" s="42"/>
      <c r="F62" s="42"/>
      <c r="G62" s="42"/>
      <c r="H62" s="42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</row>
    <row r="63" spans="1:21" x14ac:dyDescent="0.2">
      <c r="B63" s="9"/>
      <c r="C63" s="15" t="s">
        <v>53</v>
      </c>
      <c r="D63" s="66"/>
      <c r="E63" s="66"/>
      <c r="F63" s="66"/>
      <c r="G63" s="49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</row>
    <row r="64" spans="1:21" x14ac:dyDescent="0.2">
      <c r="B64" s="9"/>
      <c r="C64" s="131" t="s">
        <v>0</v>
      </c>
      <c r="D64" s="66"/>
      <c r="E64" s="66"/>
      <c r="F64" s="66"/>
      <c r="G64" s="50">
        <v>14.4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</row>
    <row r="65" spans="1:21" x14ac:dyDescent="0.2">
      <c r="B65" s="9"/>
      <c r="C65" s="131" t="s">
        <v>36</v>
      </c>
      <c r="D65" s="66"/>
      <c r="E65" s="66"/>
      <c r="F65" s="66"/>
      <c r="G65" s="50">
        <v>1.4E-3</v>
      </c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</row>
    <row r="66" spans="1:21" x14ac:dyDescent="0.2">
      <c r="B66" s="9"/>
      <c r="C66" s="131" t="s">
        <v>37</v>
      </c>
      <c r="D66" s="66"/>
      <c r="E66" s="66"/>
      <c r="F66" s="66"/>
      <c r="G66" s="50" t="s">
        <v>11</v>
      </c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</row>
    <row r="67" spans="1:21" x14ac:dyDescent="0.2">
      <c r="B67" s="9"/>
      <c r="C67" s="131" t="s">
        <v>54</v>
      </c>
      <c r="D67" s="66"/>
      <c r="E67" s="66"/>
      <c r="F67" s="66"/>
      <c r="G67" s="50" t="s">
        <v>41</v>
      </c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</row>
    <row r="68" spans="1:21" x14ac:dyDescent="0.2">
      <c r="B68" s="9"/>
      <c r="C68" s="131" t="s">
        <v>55</v>
      </c>
      <c r="D68" s="66"/>
      <c r="E68" s="66"/>
      <c r="F68" s="66"/>
      <c r="G68" s="50">
        <v>0.84370000000000001</v>
      </c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</row>
    <row r="69" spans="1:21" x14ac:dyDescent="0.2">
      <c r="B69" s="9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66"/>
      <c r="S69" s="66"/>
      <c r="T69" s="66"/>
      <c r="U69" s="66"/>
    </row>
    <row r="70" spans="1:21" x14ac:dyDescent="0.2">
      <c r="B70" s="9"/>
      <c r="C70" s="130" t="s">
        <v>44</v>
      </c>
      <c r="D70" s="133"/>
      <c r="E70" s="133"/>
      <c r="F70" s="133"/>
      <c r="G70" s="133"/>
      <c r="H70" s="133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</row>
    <row r="71" spans="1:21" x14ac:dyDescent="0.2">
      <c r="B71" s="9"/>
      <c r="C71" s="133"/>
      <c r="D71" s="136" t="s">
        <v>45</v>
      </c>
      <c r="E71" s="136" t="s">
        <v>46</v>
      </c>
      <c r="F71" s="136" t="s">
        <v>47</v>
      </c>
      <c r="G71" s="136" t="s">
        <v>48</v>
      </c>
      <c r="H71" s="136" t="s">
        <v>5</v>
      </c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</row>
    <row r="72" spans="1:21" x14ac:dyDescent="0.2">
      <c r="B72" s="9"/>
      <c r="C72" s="131" t="s">
        <v>6</v>
      </c>
      <c r="D72" s="49">
        <v>-60.09</v>
      </c>
      <c r="E72" s="49" t="s">
        <v>500</v>
      </c>
      <c r="F72" s="49" t="s">
        <v>41</v>
      </c>
      <c r="G72" s="49" t="s">
        <v>10</v>
      </c>
      <c r="H72" s="49">
        <v>5.0000000000000001E-4</v>
      </c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</row>
    <row r="73" spans="1:21" x14ac:dyDescent="0.2">
      <c r="B73" s="9"/>
      <c r="C73" s="131" t="s">
        <v>7</v>
      </c>
      <c r="D73" s="49">
        <v>-31.28</v>
      </c>
      <c r="E73" s="49" t="s">
        <v>501</v>
      </c>
      <c r="F73" s="49" t="s">
        <v>41</v>
      </c>
      <c r="G73" s="49" t="s">
        <v>12</v>
      </c>
      <c r="H73" s="49">
        <v>2.5100000000000001E-2</v>
      </c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</row>
    <row r="74" spans="1:21" x14ac:dyDescent="0.2">
      <c r="B74" s="9"/>
      <c r="C74" s="131" t="s">
        <v>8</v>
      </c>
      <c r="D74" s="49">
        <v>-40.6</v>
      </c>
      <c r="E74" s="49" t="s">
        <v>502</v>
      </c>
      <c r="F74" s="49" t="s">
        <v>41</v>
      </c>
      <c r="G74" s="49" t="s">
        <v>11</v>
      </c>
      <c r="H74" s="49">
        <v>6.3E-3</v>
      </c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</row>
    <row r="75" spans="1:21" x14ac:dyDescent="0.2">
      <c r="C75" s="131"/>
      <c r="D75" s="49"/>
      <c r="E75" s="49"/>
      <c r="F75" s="49"/>
      <c r="G75" s="49"/>
      <c r="H75" s="49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</row>
    <row r="76" spans="1:21" x14ac:dyDescent="0.2"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6"/>
    </row>
    <row r="77" spans="1:21" ht="18" x14ac:dyDescent="0.2">
      <c r="A77" s="52" t="s">
        <v>503</v>
      </c>
      <c r="C77" s="19" t="s">
        <v>52</v>
      </c>
      <c r="D77" s="20"/>
      <c r="E77" s="20"/>
      <c r="F77" s="20"/>
      <c r="G77" s="20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</row>
    <row r="78" spans="1:21" x14ac:dyDescent="0.2"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</row>
    <row r="79" spans="1:21" x14ac:dyDescent="0.2">
      <c r="C79" s="15" t="s">
        <v>53</v>
      </c>
      <c r="D79" s="49"/>
      <c r="E79" s="144"/>
      <c r="F79" s="144"/>
      <c r="G79" s="144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</row>
    <row r="80" spans="1:21" x14ac:dyDescent="0.2">
      <c r="C80" s="131" t="s">
        <v>0</v>
      </c>
      <c r="D80" s="66"/>
      <c r="E80" s="144"/>
      <c r="F80" s="144"/>
      <c r="G80" s="50">
        <v>0.17069999999999999</v>
      </c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</row>
    <row r="81" spans="3:21" x14ac:dyDescent="0.2">
      <c r="C81" s="131" t="s">
        <v>36</v>
      </c>
      <c r="D81" s="66"/>
      <c r="E81" s="144"/>
      <c r="F81" s="144"/>
      <c r="G81" s="50">
        <v>0.91320000000000001</v>
      </c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</row>
    <row r="82" spans="3:21" x14ac:dyDescent="0.2">
      <c r="C82" s="131" t="s">
        <v>37</v>
      </c>
      <c r="D82" s="66"/>
      <c r="E82" s="144"/>
      <c r="F82" s="144"/>
      <c r="G82" s="50" t="s">
        <v>9</v>
      </c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</row>
    <row r="83" spans="3:21" x14ac:dyDescent="0.2">
      <c r="C83" s="131" t="s">
        <v>54</v>
      </c>
      <c r="D83" s="66"/>
      <c r="E83" s="144"/>
      <c r="F83" s="144"/>
      <c r="G83" s="50" t="s">
        <v>49</v>
      </c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</row>
    <row r="84" spans="3:21" x14ac:dyDescent="0.2">
      <c r="C84" s="131" t="s">
        <v>55</v>
      </c>
      <c r="D84" s="66"/>
      <c r="E84" s="144"/>
      <c r="F84" s="144"/>
      <c r="G84" s="50">
        <v>6.0150000000000002E-2</v>
      </c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  <c r="U84" s="66"/>
    </row>
    <row r="85" spans="3:21" x14ac:dyDescent="0.2">
      <c r="C85" s="66"/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  <c r="U85" s="66"/>
    </row>
    <row r="86" spans="3:21" x14ac:dyDescent="0.2">
      <c r="C86" s="130" t="s">
        <v>44</v>
      </c>
      <c r="D86" s="98"/>
      <c r="E86" s="98"/>
      <c r="F86" s="98"/>
      <c r="G86" s="98"/>
      <c r="H86" s="98"/>
      <c r="I86" s="66"/>
      <c r="J86" s="66"/>
      <c r="K86" s="66"/>
      <c r="L86" s="66"/>
      <c r="M86" s="66"/>
      <c r="N86" s="66"/>
      <c r="O86" s="66"/>
      <c r="P86" s="66"/>
      <c r="Q86" s="66"/>
      <c r="R86" s="66"/>
      <c r="S86" s="66"/>
      <c r="T86" s="66"/>
      <c r="U86" s="66"/>
    </row>
    <row r="87" spans="3:21" x14ac:dyDescent="0.2">
      <c r="C87" s="133"/>
      <c r="D87" s="136" t="s">
        <v>45</v>
      </c>
      <c r="E87" s="136" t="s">
        <v>46</v>
      </c>
      <c r="F87" s="136" t="s">
        <v>47</v>
      </c>
      <c r="G87" s="136" t="s">
        <v>48</v>
      </c>
      <c r="H87" s="136" t="s">
        <v>5</v>
      </c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  <c r="U87" s="66"/>
    </row>
    <row r="88" spans="3:21" x14ac:dyDescent="0.2">
      <c r="C88" s="131" t="s">
        <v>6</v>
      </c>
      <c r="D88" s="49">
        <v>6.07</v>
      </c>
      <c r="E88" s="49" t="s">
        <v>504</v>
      </c>
      <c r="F88" s="49" t="s">
        <v>49</v>
      </c>
      <c r="G88" s="49" t="s">
        <v>9</v>
      </c>
      <c r="H88" s="49">
        <v>0.95069999999999999</v>
      </c>
      <c r="I88" s="66"/>
      <c r="J88" s="66"/>
      <c r="K88" s="66"/>
      <c r="L88" s="66"/>
      <c r="M88" s="66"/>
      <c r="N88" s="66"/>
      <c r="O88" s="66"/>
      <c r="P88" s="66"/>
      <c r="Q88" s="66"/>
      <c r="R88" s="66"/>
      <c r="S88" s="66"/>
      <c r="T88" s="66"/>
      <c r="U88" s="66"/>
    </row>
    <row r="89" spans="3:21" x14ac:dyDescent="0.2">
      <c r="C89" s="131" t="s">
        <v>7</v>
      </c>
      <c r="D89" s="49">
        <v>-3.153</v>
      </c>
      <c r="E89" s="49" t="s">
        <v>505</v>
      </c>
      <c r="F89" s="49" t="s">
        <v>49</v>
      </c>
      <c r="G89" s="49" t="s">
        <v>9</v>
      </c>
      <c r="H89" s="49">
        <v>0.99219999999999997</v>
      </c>
      <c r="I89" s="66"/>
      <c r="J89" s="66"/>
      <c r="K89" s="66"/>
      <c r="L89" s="66"/>
      <c r="M89" s="66"/>
      <c r="N89" s="66"/>
      <c r="O89" s="66"/>
      <c r="P89" s="66"/>
      <c r="Q89" s="66"/>
      <c r="R89" s="66"/>
      <c r="S89" s="66"/>
      <c r="T89" s="66"/>
      <c r="U89" s="66"/>
    </row>
    <row r="90" spans="3:21" x14ac:dyDescent="0.2">
      <c r="C90" s="131" t="s">
        <v>8</v>
      </c>
      <c r="D90" s="49">
        <v>4.4800000000000004</v>
      </c>
      <c r="E90" s="49" t="s">
        <v>506</v>
      </c>
      <c r="F90" s="49" t="s">
        <v>49</v>
      </c>
      <c r="G90" s="49" t="s">
        <v>9</v>
      </c>
      <c r="H90" s="49">
        <v>0.97870000000000001</v>
      </c>
      <c r="I90" s="66"/>
      <c r="J90" s="66"/>
      <c r="K90" s="66"/>
      <c r="L90" s="66"/>
      <c r="M90" s="66"/>
      <c r="N90" s="66"/>
      <c r="O90" s="66"/>
      <c r="P90" s="66"/>
      <c r="Q90" s="66"/>
      <c r="R90" s="66"/>
      <c r="S90" s="66"/>
      <c r="T90" s="66"/>
      <c r="U90" s="66"/>
    </row>
    <row r="91" spans="3:21" x14ac:dyDescent="0.2"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</row>
    <row r="92" spans="3:21" x14ac:dyDescent="0.2"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</row>
    <row r="93" spans="3:21" x14ac:dyDescent="0.2">
      <c r="K93" s="66"/>
      <c r="L93" s="66"/>
      <c r="M93" s="66"/>
      <c r="N93" s="66"/>
      <c r="O93" s="66"/>
      <c r="P93" s="66"/>
      <c r="Q93" s="66"/>
      <c r="R93" s="66"/>
      <c r="S93" s="66"/>
      <c r="T93" s="66"/>
      <c r="U93" s="66"/>
    </row>
    <row r="94" spans="3:21" x14ac:dyDescent="0.2"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</row>
    <row r="95" spans="3:21" x14ac:dyDescent="0.2">
      <c r="K95" s="66"/>
      <c r="L95" s="66"/>
      <c r="M95" s="66"/>
      <c r="N95" s="66"/>
      <c r="O95" s="66"/>
      <c r="P95" s="66"/>
      <c r="Q95" s="66"/>
      <c r="R95" s="66"/>
      <c r="S95" s="66"/>
      <c r="T95" s="66"/>
      <c r="U95" s="66"/>
    </row>
    <row r="96" spans="3:21" x14ac:dyDescent="0.2">
      <c r="K96" s="66"/>
      <c r="L96" s="66"/>
      <c r="M96" s="66"/>
      <c r="N96" s="66"/>
      <c r="O96" s="66"/>
      <c r="P96" s="66"/>
      <c r="Q96" s="66"/>
      <c r="R96" s="66"/>
      <c r="S96" s="66"/>
      <c r="T96" s="66"/>
      <c r="U96" s="66"/>
    </row>
    <row r="97" spans="11:21" x14ac:dyDescent="0.2"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</row>
    <row r="98" spans="11:21" x14ac:dyDescent="0.2"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</row>
    <row r="99" spans="11:21" x14ac:dyDescent="0.2"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</row>
    <row r="100" spans="11:21" x14ac:dyDescent="0.2"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</row>
    <row r="101" spans="11:21" x14ac:dyDescent="0.2"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</row>
    <row r="102" spans="11:21" x14ac:dyDescent="0.2"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</row>
    <row r="103" spans="11:21" x14ac:dyDescent="0.2"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</row>
    <row r="104" spans="11:21" x14ac:dyDescent="0.2"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</row>
    <row r="105" spans="11:21" x14ac:dyDescent="0.2"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</row>
    <row r="106" spans="11:21" x14ac:dyDescent="0.2">
      <c r="K106" s="66"/>
      <c r="L106" s="66"/>
      <c r="M106" s="66"/>
      <c r="N106" s="66"/>
      <c r="O106" s="66"/>
      <c r="P106" s="66"/>
      <c r="Q106" s="66"/>
      <c r="R106" s="66"/>
      <c r="S106" s="66"/>
      <c r="T106" s="66"/>
      <c r="U106" s="66"/>
    </row>
    <row r="107" spans="11:21" x14ac:dyDescent="0.2">
      <c r="K107" s="66"/>
      <c r="L107" s="66"/>
      <c r="M107" s="66"/>
      <c r="N107" s="66"/>
      <c r="O107" s="66"/>
      <c r="P107" s="66"/>
      <c r="Q107" s="66"/>
      <c r="R107" s="66"/>
      <c r="S107" s="66"/>
      <c r="T107" s="66"/>
      <c r="U107" s="66"/>
    </row>
    <row r="108" spans="11:21" x14ac:dyDescent="0.2">
      <c r="K108" s="66"/>
      <c r="L108" s="66"/>
      <c r="M108" s="66"/>
      <c r="N108" s="66"/>
      <c r="O108" s="66"/>
      <c r="P108" s="66"/>
      <c r="Q108" s="66"/>
      <c r="R108" s="66"/>
      <c r="S108" s="66"/>
      <c r="T108" s="66"/>
      <c r="U108" s="66"/>
    </row>
    <row r="109" spans="11:21" x14ac:dyDescent="0.2">
      <c r="K109" s="66"/>
      <c r="L109" s="66"/>
      <c r="M109" s="66"/>
      <c r="N109" s="66"/>
      <c r="O109" s="66"/>
      <c r="P109" s="66"/>
      <c r="Q109" s="66"/>
      <c r="R109" s="66"/>
      <c r="S109" s="66"/>
      <c r="T109" s="66"/>
      <c r="U109" s="66"/>
    </row>
    <row r="110" spans="11:21" x14ac:dyDescent="0.2">
      <c r="K110" s="66"/>
      <c r="L110" s="66"/>
      <c r="M110" s="66"/>
      <c r="N110" s="66"/>
      <c r="O110" s="66"/>
      <c r="P110" s="66"/>
      <c r="Q110" s="66"/>
      <c r="R110" s="66"/>
      <c r="S110" s="66"/>
      <c r="T110" s="66"/>
      <c r="U110" s="66"/>
    </row>
    <row r="111" spans="11:21" x14ac:dyDescent="0.2">
      <c r="K111" s="66"/>
      <c r="L111" s="66"/>
      <c r="M111" s="66"/>
      <c r="N111" s="66"/>
      <c r="O111" s="66"/>
      <c r="P111" s="66"/>
      <c r="Q111" s="66"/>
      <c r="R111" s="66"/>
      <c r="S111" s="66"/>
      <c r="T111" s="66"/>
      <c r="U111" s="66"/>
    </row>
    <row r="112" spans="11:21" x14ac:dyDescent="0.2">
      <c r="K112" s="66"/>
      <c r="L112" s="66"/>
      <c r="M112" s="66"/>
      <c r="N112" s="66"/>
      <c r="O112" s="66"/>
      <c r="P112" s="66"/>
      <c r="Q112" s="66"/>
      <c r="R112" s="66"/>
      <c r="S112" s="66"/>
      <c r="T112" s="66"/>
      <c r="U112" s="66"/>
    </row>
    <row r="113" spans="11:21" x14ac:dyDescent="0.2">
      <c r="K113" s="66"/>
      <c r="L113" s="66"/>
      <c r="M113" s="66"/>
      <c r="N113" s="66"/>
      <c r="O113" s="66"/>
      <c r="P113" s="66"/>
      <c r="Q113" s="66"/>
      <c r="R113" s="66"/>
      <c r="S113" s="66"/>
      <c r="T113" s="66"/>
      <c r="U113" s="66"/>
    </row>
    <row r="114" spans="11:21" x14ac:dyDescent="0.2">
      <c r="K114" s="66"/>
      <c r="L114" s="66"/>
      <c r="M114" s="66"/>
      <c r="N114" s="66"/>
      <c r="O114" s="66"/>
      <c r="P114" s="66"/>
      <c r="Q114" s="66"/>
      <c r="R114" s="66"/>
      <c r="S114" s="66"/>
      <c r="T114" s="66"/>
      <c r="U114" s="66"/>
    </row>
    <row r="115" spans="11:21" x14ac:dyDescent="0.2">
      <c r="K115" s="66"/>
      <c r="L115" s="66"/>
      <c r="M115" s="66"/>
      <c r="N115" s="66"/>
      <c r="O115" s="66"/>
      <c r="P115" s="66"/>
      <c r="Q115" s="66"/>
      <c r="R115" s="66"/>
      <c r="S115" s="66"/>
      <c r="T115" s="66"/>
      <c r="U115" s="66"/>
    </row>
    <row r="116" spans="11:21" x14ac:dyDescent="0.2">
      <c r="K116" s="66"/>
      <c r="L116" s="66"/>
      <c r="M116" s="66"/>
      <c r="N116" s="66"/>
      <c r="O116" s="66"/>
      <c r="P116" s="66"/>
      <c r="Q116" s="66"/>
      <c r="R116" s="66"/>
      <c r="S116" s="66"/>
      <c r="T116" s="66"/>
      <c r="U116" s="66"/>
    </row>
    <row r="117" spans="11:21" x14ac:dyDescent="0.2">
      <c r="K117" s="66"/>
      <c r="L117" s="66"/>
      <c r="M117" s="66"/>
      <c r="N117" s="66"/>
      <c r="O117" s="66"/>
      <c r="P117" s="66"/>
      <c r="Q117" s="66"/>
      <c r="R117" s="66"/>
      <c r="S117" s="66"/>
      <c r="T117" s="66"/>
      <c r="U117" s="66"/>
    </row>
    <row r="118" spans="11:21" x14ac:dyDescent="0.2">
      <c r="K118" s="66"/>
      <c r="L118" s="66"/>
      <c r="M118" s="66"/>
      <c r="N118" s="66"/>
      <c r="O118" s="66"/>
      <c r="P118" s="66"/>
      <c r="Q118" s="66"/>
      <c r="R118" s="66"/>
      <c r="S118" s="66"/>
      <c r="T118" s="66"/>
      <c r="U118" s="66"/>
    </row>
    <row r="119" spans="11:21" x14ac:dyDescent="0.2">
      <c r="K119" s="66"/>
      <c r="L119" s="66"/>
      <c r="M119" s="66"/>
      <c r="N119" s="66"/>
      <c r="O119" s="66"/>
      <c r="P119" s="66"/>
      <c r="Q119" s="66"/>
      <c r="R119" s="66"/>
      <c r="S119" s="66"/>
      <c r="T119" s="66"/>
      <c r="U119" s="66"/>
    </row>
    <row r="120" spans="11:21" x14ac:dyDescent="0.2">
      <c r="K120" s="66"/>
      <c r="L120" s="66"/>
      <c r="M120" s="66"/>
      <c r="N120" s="66"/>
      <c r="O120" s="66"/>
      <c r="P120" s="66"/>
      <c r="Q120" s="66"/>
      <c r="R120" s="66"/>
      <c r="S120" s="66"/>
      <c r="T120" s="66"/>
      <c r="U120" s="66"/>
    </row>
    <row r="121" spans="11:21" x14ac:dyDescent="0.2">
      <c r="K121" s="66"/>
      <c r="L121" s="66"/>
      <c r="M121" s="66"/>
      <c r="N121" s="66"/>
      <c r="O121" s="66"/>
      <c r="P121" s="66"/>
      <c r="Q121" s="66"/>
      <c r="R121" s="66"/>
      <c r="S121" s="66"/>
      <c r="T121" s="66"/>
      <c r="U121" s="66"/>
    </row>
    <row r="122" spans="11:21" x14ac:dyDescent="0.2">
      <c r="K122" s="66"/>
      <c r="L122" s="66"/>
      <c r="M122" s="66"/>
      <c r="N122" s="66"/>
      <c r="O122" s="66"/>
      <c r="P122" s="66"/>
      <c r="Q122" s="66"/>
      <c r="R122" s="66"/>
      <c r="S122" s="66"/>
      <c r="T122" s="66"/>
      <c r="U122" s="66"/>
    </row>
    <row r="123" spans="11:21" x14ac:dyDescent="0.2">
      <c r="K123" s="66"/>
      <c r="L123" s="66"/>
      <c r="M123" s="66"/>
      <c r="N123" s="66"/>
      <c r="O123" s="66"/>
      <c r="P123" s="66"/>
      <c r="Q123" s="66"/>
      <c r="R123" s="66"/>
      <c r="S123" s="66"/>
      <c r="T123" s="66"/>
      <c r="U123" s="66"/>
    </row>
    <row r="124" spans="11:21" x14ac:dyDescent="0.2">
      <c r="K124" s="66"/>
      <c r="L124" s="66"/>
      <c r="M124" s="66"/>
      <c r="N124" s="66"/>
      <c r="O124" s="66"/>
      <c r="P124" s="66"/>
      <c r="Q124" s="66"/>
      <c r="R124" s="66"/>
      <c r="S124" s="66"/>
      <c r="T124" s="66"/>
      <c r="U124" s="66"/>
    </row>
    <row r="125" spans="11:21" x14ac:dyDescent="0.2">
      <c r="K125" s="66"/>
      <c r="L125" s="66"/>
      <c r="M125" s="66"/>
      <c r="N125" s="66"/>
      <c r="O125" s="66"/>
      <c r="P125" s="66"/>
      <c r="Q125" s="66"/>
      <c r="R125" s="66"/>
      <c r="S125" s="66"/>
      <c r="T125" s="66"/>
      <c r="U125" s="66"/>
    </row>
    <row r="126" spans="11:21" x14ac:dyDescent="0.2">
      <c r="K126" s="66"/>
      <c r="L126" s="66"/>
      <c r="M126" s="66"/>
      <c r="N126" s="66"/>
      <c r="O126" s="66"/>
      <c r="P126" s="66"/>
      <c r="Q126" s="66"/>
      <c r="R126" s="66"/>
      <c r="S126" s="66"/>
      <c r="T126" s="66"/>
      <c r="U126" s="66"/>
    </row>
    <row r="127" spans="11:21" x14ac:dyDescent="0.2">
      <c r="K127" s="66"/>
      <c r="L127" s="66"/>
      <c r="M127" s="66"/>
      <c r="N127" s="66"/>
      <c r="O127" s="66"/>
      <c r="P127" s="66"/>
      <c r="Q127" s="66"/>
      <c r="R127" s="66"/>
      <c r="S127" s="66"/>
      <c r="T127" s="66"/>
      <c r="U127" s="66"/>
    </row>
    <row r="128" spans="11:21" x14ac:dyDescent="0.2">
      <c r="K128" s="66"/>
      <c r="L128" s="66"/>
      <c r="M128" s="66"/>
      <c r="N128" s="66"/>
      <c r="O128" s="66"/>
      <c r="P128" s="66"/>
      <c r="Q128" s="66"/>
      <c r="R128" s="66"/>
      <c r="S128" s="66"/>
      <c r="T128" s="66"/>
      <c r="U128" s="66"/>
    </row>
    <row r="129" spans="11:21" x14ac:dyDescent="0.2">
      <c r="K129" s="66"/>
      <c r="L129" s="66"/>
      <c r="M129" s="66"/>
      <c r="N129" s="66"/>
      <c r="O129" s="66"/>
      <c r="P129" s="66"/>
      <c r="Q129" s="66"/>
      <c r="R129" s="66"/>
      <c r="S129" s="66"/>
      <c r="T129" s="66"/>
      <c r="U129" s="66"/>
    </row>
    <row r="130" spans="11:21" x14ac:dyDescent="0.2">
      <c r="K130" s="66"/>
      <c r="L130" s="66"/>
      <c r="M130" s="66"/>
      <c r="N130" s="66"/>
      <c r="O130" s="66"/>
      <c r="P130" s="66"/>
      <c r="Q130" s="66"/>
      <c r="R130" s="66"/>
      <c r="S130" s="66"/>
      <c r="T130" s="66"/>
      <c r="U130" s="66"/>
    </row>
    <row r="131" spans="11:21" x14ac:dyDescent="0.2">
      <c r="K131" s="66"/>
      <c r="L131" s="66"/>
      <c r="M131" s="66"/>
      <c r="N131" s="66"/>
      <c r="O131" s="66"/>
      <c r="P131" s="66"/>
      <c r="Q131" s="66"/>
      <c r="R131" s="66"/>
      <c r="S131" s="66"/>
      <c r="T131" s="66"/>
      <c r="U131" s="66"/>
    </row>
    <row r="132" spans="11:21" x14ac:dyDescent="0.2">
      <c r="K132" s="66"/>
      <c r="L132" s="66"/>
      <c r="M132" s="66"/>
      <c r="N132" s="66"/>
      <c r="O132" s="66"/>
      <c r="P132" s="66"/>
      <c r="Q132" s="66"/>
      <c r="R132" s="66"/>
      <c r="S132" s="66"/>
      <c r="T132" s="66"/>
      <c r="U132" s="66"/>
    </row>
    <row r="133" spans="11:21" x14ac:dyDescent="0.2">
      <c r="K133" s="66"/>
      <c r="L133" s="66"/>
      <c r="M133" s="66"/>
      <c r="N133" s="66"/>
      <c r="O133" s="66"/>
      <c r="P133" s="66"/>
      <c r="Q133" s="66"/>
      <c r="R133" s="66"/>
      <c r="S133" s="66"/>
      <c r="T133" s="66"/>
      <c r="U133" s="66"/>
    </row>
    <row r="134" spans="11:21" x14ac:dyDescent="0.2">
      <c r="K134" s="66"/>
      <c r="L134" s="66"/>
      <c r="M134" s="66"/>
      <c r="N134" s="66"/>
      <c r="O134" s="66"/>
      <c r="P134" s="66"/>
      <c r="Q134" s="66"/>
      <c r="R134" s="66"/>
      <c r="S134" s="66"/>
      <c r="T134" s="66"/>
      <c r="U134" s="66"/>
    </row>
    <row r="135" spans="11:21" x14ac:dyDescent="0.2">
      <c r="K135" s="66"/>
      <c r="L135" s="66"/>
      <c r="M135" s="66"/>
      <c r="N135" s="66"/>
      <c r="O135" s="66"/>
      <c r="P135" s="66"/>
      <c r="Q135" s="66"/>
      <c r="R135" s="66"/>
      <c r="S135" s="66"/>
      <c r="T135" s="66"/>
      <c r="U135" s="66"/>
    </row>
    <row r="136" spans="11:21" x14ac:dyDescent="0.2">
      <c r="K136" s="66"/>
      <c r="L136" s="66"/>
      <c r="M136" s="66"/>
      <c r="N136" s="66"/>
      <c r="O136" s="66"/>
      <c r="P136" s="66"/>
      <c r="Q136" s="66"/>
      <c r="R136" s="66"/>
      <c r="S136" s="66"/>
      <c r="T136" s="66"/>
      <c r="U136" s="66"/>
    </row>
    <row r="137" spans="11:21" x14ac:dyDescent="0.2">
      <c r="K137" s="66"/>
      <c r="L137" s="66"/>
      <c r="M137" s="66"/>
      <c r="N137" s="66"/>
      <c r="O137" s="66"/>
      <c r="P137" s="66"/>
      <c r="Q137" s="66"/>
      <c r="R137" s="66"/>
      <c r="S137" s="66"/>
      <c r="T137" s="66"/>
      <c r="U137" s="66"/>
    </row>
    <row r="138" spans="11:21" x14ac:dyDescent="0.2">
      <c r="K138" s="66"/>
      <c r="L138" s="66"/>
      <c r="M138" s="66"/>
      <c r="N138" s="66"/>
      <c r="O138" s="66"/>
      <c r="P138" s="66"/>
      <c r="Q138" s="66"/>
      <c r="R138" s="66"/>
      <c r="S138" s="66"/>
      <c r="T138" s="66"/>
      <c r="U138" s="66"/>
    </row>
  </sheetData>
  <mergeCells count="13">
    <mergeCell ref="D18:G18"/>
    <mergeCell ref="H18:K18"/>
    <mergeCell ref="L18:O18"/>
    <mergeCell ref="P18:S18"/>
    <mergeCell ref="D6:G6"/>
    <mergeCell ref="H6:K6"/>
    <mergeCell ref="L6:O6"/>
    <mergeCell ref="P6:S6"/>
    <mergeCell ref="T6:W6"/>
    <mergeCell ref="D12:G12"/>
    <mergeCell ref="H12:K12"/>
    <mergeCell ref="L12:O12"/>
    <mergeCell ref="P12:S12"/>
  </mergeCells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23"/>
  <sheetViews>
    <sheetView workbookViewId="0">
      <selection activeCell="H23" sqref="H23"/>
    </sheetView>
  </sheetViews>
  <sheetFormatPr baseColWidth="10" defaultRowHeight="16" x14ac:dyDescent="0.2"/>
  <cols>
    <col min="2" max="2" width="15.33203125" customWidth="1"/>
    <col min="4" max="4" width="15.5" customWidth="1"/>
  </cols>
  <sheetData>
    <row r="1" spans="1:6" x14ac:dyDescent="0.2">
      <c r="A1" s="9"/>
      <c r="B1" s="9"/>
      <c r="C1" s="9"/>
      <c r="D1" s="9"/>
      <c r="E1" s="9"/>
      <c r="F1" s="9"/>
    </row>
    <row r="2" spans="1:6" ht="18" x14ac:dyDescent="0.2">
      <c r="A2" s="53" t="s">
        <v>561</v>
      </c>
      <c r="B2" s="53"/>
      <c r="C2" s="9"/>
      <c r="D2" s="9"/>
      <c r="E2" s="9"/>
      <c r="F2" s="9"/>
    </row>
    <row r="3" spans="1:6" x14ac:dyDescent="0.2">
      <c r="A3" s="9"/>
      <c r="B3" s="9"/>
      <c r="C3" s="9"/>
      <c r="D3" s="9"/>
      <c r="E3" s="9"/>
      <c r="F3" s="9"/>
    </row>
    <row r="4" spans="1:6" ht="18" x14ac:dyDescent="0.2">
      <c r="A4" s="14" t="s">
        <v>547</v>
      </c>
      <c r="B4" s="53"/>
      <c r="C4" s="53"/>
      <c r="D4" s="80"/>
      <c r="E4" s="9"/>
      <c r="F4" s="9"/>
    </row>
    <row r="5" spans="1:6" ht="18" x14ac:dyDescent="0.2">
      <c r="A5" s="93"/>
      <c r="B5" s="9"/>
      <c r="C5" s="9"/>
      <c r="D5" s="9"/>
      <c r="E5" s="9"/>
      <c r="F5" s="9"/>
    </row>
    <row r="6" spans="1:6" x14ac:dyDescent="0.2">
      <c r="A6" s="9"/>
      <c r="B6" s="9"/>
      <c r="C6" s="511" t="s">
        <v>548</v>
      </c>
      <c r="D6" s="512"/>
      <c r="E6" s="512"/>
      <c r="F6" s="513"/>
    </row>
    <row r="7" spans="1:6" x14ac:dyDescent="0.2">
      <c r="A7" s="9"/>
      <c r="B7" s="21"/>
      <c r="C7" s="18" t="s">
        <v>1</v>
      </c>
      <c r="D7" s="22" t="s">
        <v>2</v>
      </c>
      <c r="E7" s="22" t="s">
        <v>3</v>
      </c>
      <c r="F7" s="22" t="s">
        <v>4</v>
      </c>
    </row>
    <row r="8" spans="1:6" x14ac:dyDescent="0.2">
      <c r="A8" s="9"/>
      <c r="B8" s="454" t="s">
        <v>32</v>
      </c>
      <c r="C8" s="55">
        <v>1.1770641620435855</v>
      </c>
      <c r="D8" s="17">
        <v>1.5618796341681625E-2</v>
      </c>
      <c r="E8" s="17">
        <v>7.6354342563959895E-3</v>
      </c>
      <c r="F8" s="17">
        <v>2.4876296385879224E-3</v>
      </c>
    </row>
    <row r="9" spans="1:6" x14ac:dyDescent="0.2">
      <c r="A9" s="9"/>
      <c r="B9" s="454" t="s">
        <v>33</v>
      </c>
      <c r="C9" s="55">
        <v>0.63530818388271393</v>
      </c>
      <c r="D9" s="17">
        <v>0.40457027982769572</v>
      </c>
      <c r="E9" s="17">
        <v>0.39461877522025196</v>
      </c>
      <c r="F9" s="17">
        <v>8.3101855996810803E-2</v>
      </c>
    </row>
    <row r="10" spans="1:6" x14ac:dyDescent="0.2">
      <c r="A10" s="9"/>
      <c r="B10" s="454" t="s">
        <v>34</v>
      </c>
      <c r="C10" s="55">
        <v>1.1876276540737005</v>
      </c>
      <c r="D10" s="17">
        <v>0.49376538059163871</v>
      </c>
      <c r="E10" s="17">
        <v>8.9688458351824679E-2</v>
      </c>
      <c r="F10" s="17">
        <v>4.2692846968295679E-2</v>
      </c>
    </row>
    <row r="11" spans="1:6" x14ac:dyDescent="0.2">
      <c r="A11" s="9"/>
    </row>
    <row r="12" spans="1:6" x14ac:dyDescent="0.2">
      <c r="B12" s="17" t="s">
        <v>51</v>
      </c>
      <c r="C12" s="17">
        <f>AVERAGE(C8:C10)</f>
        <v>1</v>
      </c>
      <c r="D12" s="17">
        <f>AVERAGE(D8:D10)</f>
        <v>0.30465148558700533</v>
      </c>
      <c r="E12" s="17">
        <f>AVERAGE(E8:E10)</f>
        <v>0.16398088927615753</v>
      </c>
      <c r="F12" s="17">
        <f>AVERAGE(F8:F10)</f>
        <v>4.2760777534564802E-2</v>
      </c>
    </row>
    <row r="13" spans="1:6" x14ac:dyDescent="0.2">
      <c r="B13" s="17" t="s">
        <v>13</v>
      </c>
      <c r="C13" s="17">
        <f>STDEV(C8:C10)</f>
        <v>0.31587653822049055</v>
      </c>
      <c r="D13" s="17">
        <f>STDEV(D8:D10)</f>
        <v>0.25425157440881341</v>
      </c>
      <c r="E13" s="17">
        <f>STDEV(E8:E10)</f>
        <v>0.20390819138860525</v>
      </c>
      <c r="F13" s="17">
        <f>STDEV(F8:F10)</f>
        <v>4.0307156110982005E-2</v>
      </c>
    </row>
    <row r="14" spans="1:6" x14ac:dyDescent="0.2">
      <c r="B14" s="17" t="s">
        <v>14</v>
      </c>
      <c r="C14" s="45">
        <f>C13/(3^0.5)</f>
        <v>0.18237140437228735</v>
      </c>
      <c r="D14" s="45">
        <f t="shared" ref="D14:F14" si="0">D13/(3^0.5)</f>
        <v>0.1467922149268146</v>
      </c>
      <c r="E14" s="45">
        <f t="shared" si="0"/>
        <v>0.11772644918818098</v>
      </c>
      <c r="F14" s="45">
        <f t="shared" si="0"/>
        <v>2.327134743094373E-2</v>
      </c>
    </row>
    <row r="15" spans="1:6" x14ac:dyDescent="0.2">
      <c r="B15" s="9"/>
      <c r="C15" s="9"/>
      <c r="D15" s="9"/>
      <c r="E15" s="9"/>
      <c r="F15" s="9"/>
    </row>
    <row r="16" spans="1:6" x14ac:dyDescent="0.2">
      <c r="B16" s="9"/>
      <c r="C16" s="9"/>
      <c r="D16" s="9"/>
      <c r="E16" s="9"/>
      <c r="F16" s="9"/>
    </row>
    <row r="17" spans="2:7" ht="18" x14ac:dyDescent="0.2">
      <c r="B17" s="19" t="s">
        <v>52</v>
      </c>
      <c r="C17" s="20"/>
      <c r="D17" s="20"/>
      <c r="E17" s="20"/>
      <c r="F17" s="20"/>
    </row>
    <row r="19" spans="2:7" x14ac:dyDescent="0.2">
      <c r="B19" s="3" t="s">
        <v>164</v>
      </c>
      <c r="C19" s="1"/>
      <c r="D19" s="9"/>
      <c r="E19" s="9"/>
      <c r="F19" s="1"/>
    </row>
    <row r="20" spans="2:7" x14ac:dyDescent="0.2">
      <c r="B20" s="2" t="s">
        <v>0</v>
      </c>
      <c r="C20" s="77"/>
      <c r="D20" s="77"/>
      <c r="E20" s="77"/>
      <c r="F20" s="1">
        <v>10.6</v>
      </c>
    </row>
    <row r="21" spans="2:7" x14ac:dyDescent="0.2">
      <c r="B21" s="2" t="s">
        <v>36</v>
      </c>
      <c r="C21" s="77"/>
      <c r="D21" s="77"/>
      <c r="E21" s="77"/>
      <c r="F21" s="1">
        <v>3.7000000000000002E-3</v>
      </c>
    </row>
    <row r="22" spans="2:7" x14ac:dyDescent="0.2">
      <c r="B22" s="2" t="s">
        <v>37</v>
      </c>
      <c r="C22" s="77"/>
      <c r="D22" s="77"/>
      <c r="E22" s="77"/>
      <c r="F22" s="46" t="s">
        <v>11</v>
      </c>
    </row>
    <row r="23" spans="2:7" x14ac:dyDescent="0.2">
      <c r="B23" s="2" t="s">
        <v>54</v>
      </c>
      <c r="C23" s="77"/>
      <c r="D23" s="77"/>
      <c r="E23" s="77"/>
      <c r="F23" s="46" t="s">
        <v>41</v>
      </c>
    </row>
    <row r="24" spans="2:7" x14ac:dyDescent="0.2">
      <c r="B24" s="2" t="s">
        <v>55</v>
      </c>
      <c r="C24" s="77"/>
      <c r="D24" s="77"/>
      <c r="E24" s="77"/>
      <c r="F24" s="1">
        <v>0.79910000000000003</v>
      </c>
    </row>
    <row r="26" spans="2:7" x14ac:dyDescent="0.2">
      <c r="B26" s="3" t="s">
        <v>44</v>
      </c>
      <c r="C26" s="76"/>
      <c r="D26" s="76"/>
      <c r="E26" s="76"/>
      <c r="F26" s="76"/>
      <c r="G26" s="76"/>
    </row>
    <row r="27" spans="2:7" x14ac:dyDescent="0.2">
      <c r="B27" s="76"/>
      <c r="C27" s="16" t="s">
        <v>45</v>
      </c>
      <c r="D27" s="16" t="s">
        <v>46</v>
      </c>
      <c r="E27" s="16" t="s">
        <v>47</v>
      </c>
      <c r="F27" s="16" t="s">
        <v>48</v>
      </c>
      <c r="G27" s="16" t="s">
        <v>5</v>
      </c>
    </row>
    <row r="28" spans="2:7" x14ac:dyDescent="0.2">
      <c r="B28" s="2" t="s">
        <v>6</v>
      </c>
      <c r="C28" s="1">
        <v>0.69530000000000003</v>
      </c>
      <c r="D28" s="1" t="s">
        <v>549</v>
      </c>
      <c r="E28" s="1" t="s">
        <v>41</v>
      </c>
      <c r="F28" s="1" t="s">
        <v>12</v>
      </c>
      <c r="G28" s="1">
        <v>1.44E-2</v>
      </c>
    </row>
    <row r="29" spans="2:7" x14ac:dyDescent="0.2">
      <c r="B29" s="2" t="s">
        <v>7</v>
      </c>
      <c r="C29" s="1">
        <v>0.83599999999999997</v>
      </c>
      <c r="D29" s="1" t="s">
        <v>550</v>
      </c>
      <c r="E29" s="1" t="s">
        <v>41</v>
      </c>
      <c r="F29" s="1" t="s">
        <v>11</v>
      </c>
      <c r="G29" s="1">
        <v>5.1999999999999998E-3</v>
      </c>
    </row>
    <row r="30" spans="2:7" x14ac:dyDescent="0.2">
      <c r="B30" s="2" t="s">
        <v>8</v>
      </c>
      <c r="C30" s="1">
        <v>0.95720000000000005</v>
      </c>
      <c r="D30" s="1" t="s">
        <v>551</v>
      </c>
      <c r="E30" s="1" t="s">
        <v>41</v>
      </c>
      <c r="F30" s="1" t="s">
        <v>11</v>
      </c>
      <c r="G30" s="1">
        <v>2.3E-3</v>
      </c>
    </row>
    <row r="35" spans="1:6" ht="18" x14ac:dyDescent="0.2">
      <c r="A35" s="14" t="s">
        <v>552</v>
      </c>
      <c r="B35" s="53"/>
      <c r="C35" s="53"/>
      <c r="D35" s="80"/>
      <c r="E35" s="9"/>
      <c r="F35" s="9"/>
    </row>
    <row r="36" spans="1:6" x14ac:dyDescent="0.2">
      <c r="A36" s="9"/>
      <c r="B36" s="9"/>
      <c r="C36" s="9"/>
      <c r="D36" s="9"/>
      <c r="E36" s="9"/>
      <c r="F36" s="9"/>
    </row>
    <row r="37" spans="1:6" x14ac:dyDescent="0.2">
      <c r="A37" s="9"/>
      <c r="B37" s="9"/>
      <c r="C37" s="511" t="s">
        <v>553</v>
      </c>
      <c r="D37" s="512"/>
      <c r="E37" s="512"/>
      <c r="F37" s="513"/>
    </row>
    <row r="38" spans="1:6" x14ac:dyDescent="0.2">
      <c r="A38" s="9"/>
      <c r="B38" s="21"/>
      <c r="C38" s="18" t="s">
        <v>1</v>
      </c>
      <c r="D38" s="22" t="s">
        <v>2</v>
      </c>
      <c r="E38" s="22" t="s">
        <v>3</v>
      </c>
      <c r="F38" s="22" t="s">
        <v>4</v>
      </c>
    </row>
    <row r="39" spans="1:6" x14ac:dyDescent="0.2">
      <c r="A39" s="9"/>
      <c r="B39" s="436" t="s">
        <v>32</v>
      </c>
      <c r="C39" s="17">
        <v>0.98238582131106322</v>
      </c>
      <c r="D39" s="17">
        <v>0.58046482569524549</v>
      </c>
      <c r="E39" s="17">
        <v>0.11009113673389387</v>
      </c>
      <c r="F39" s="17">
        <v>0.21170836632720808</v>
      </c>
    </row>
    <row r="40" spans="1:6" x14ac:dyDescent="0.2">
      <c r="A40" s="9"/>
      <c r="B40" s="436" t="s">
        <v>33</v>
      </c>
      <c r="C40" s="17">
        <v>0.78039216625592245</v>
      </c>
      <c r="D40" s="17">
        <v>0.28882713579171793</v>
      </c>
      <c r="E40" s="17">
        <v>0.40732545603420572</v>
      </c>
      <c r="F40" s="17">
        <v>0.2385099937839556</v>
      </c>
    </row>
    <row r="41" spans="1:6" x14ac:dyDescent="0.2">
      <c r="A41" s="9"/>
      <c r="B41" s="436" t="s">
        <v>34</v>
      </c>
      <c r="C41" s="17">
        <v>1.2372220124330147</v>
      </c>
      <c r="D41" s="17">
        <v>0.30707126875398216</v>
      </c>
      <c r="E41" s="17"/>
      <c r="F41" s="17">
        <v>0.35696399567489462</v>
      </c>
    </row>
    <row r="42" spans="1:6" x14ac:dyDescent="0.2">
      <c r="A42" s="9"/>
    </row>
    <row r="43" spans="1:6" x14ac:dyDescent="0.2">
      <c r="B43" s="17" t="s">
        <v>51</v>
      </c>
      <c r="C43" s="17">
        <f>AVERAGE(C39:C41)</f>
        <v>1.0000000000000002</v>
      </c>
      <c r="D43" s="17">
        <f>AVERAGE(D39:D41)</f>
        <v>0.39212107674698188</v>
      </c>
      <c r="E43" s="17">
        <f>AVERAGE(E39:E41)</f>
        <v>0.2587082963840498</v>
      </c>
      <c r="F43" s="17">
        <f>AVERAGE(F39:F41)</f>
        <v>0.26906078526201943</v>
      </c>
    </row>
    <row r="44" spans="1:6" x14ac:dyDescent="0.2">
      <c r="B44" s="17" t="s">
        <v>13</v>
      </c>
      <c r="C44" s="17">
        <f>STDEV(C39:C41)</f>
        <v>0.22892372432255814</v>
      </c>
      <c r="D44" s="17">
        <f>STDEV(D39:D41)</f>
        <v>0.16336535104728017</v>
      </c>
      <c r="E44" s="17">
        <f>STDEV(E39:E41)</f>
        <v>0.21017640277861802</v>
      </c>
      <c r="F44" s="17">
        <f>STDEV(F39:F41)</f>
        <v>7.729691202920233E-2</v>
      </c>
    </row>
    <row r="45" spans="1:6" x14ac:dyDescent="0.2">
      <c r="B45" s="17" t="s">
        <v>14</v>
      </c>
      <c r="C45" s="45">
        <f>C44/(3^0.5)</f>
        <v>0.13216917386152063</v>
      </c>
      <c r="D45" s="45">
        <f>D44/(3^0.5)</f>
        <v>9.4319029403404919E-2</v>
      </c>
      <c r="E45" s="45">
        <f>E44/(2^0.5)</f>
        <v>0.14861715965015593</v>
      </c>
      <c r="F45" s="45">
        <f t="shared" ref="F45" si="1">F44/(3^0.5)</f>
        <v>4.462739296758679E-2</v>
      </c>
    </row>
    <row r="46" spans="1:6" x14ac:dyDescent="0.2">
      <c r="B46" s="9"/>
      <c r="C46" s="9"/>
      <c r="D46" s="9"/>
      <c r="E46" s="9"/>
      <c r="F46" s="9"/>
    </row>
    <row r="47" spans="1:6" x14ac:dyDescent="0.2">
      <c r="B47" s="9"/>
      <c r="C47" s="9"/>
      <c r="D47" s="9"/>
      <c r="E47" s="9"/>
      <c r="F47" s="9"/>
    </row>
    <row r="48" spans="1:6" ht="18" x14ac:dyDescent="0.2">
      <c r="B48" s="19" t="s">
        <v>52</v>
      </c>
      <c r="C48" s="20"/>
      <c r="D48" s="20"/>
      <c r="E48" s="20"/>
      <c r="F48" s="20"/>
    </row>
    <row r="50" spans="2:7" x14ac:dyDescent="0.2">
      <c r="B50" s="2" t="s">
        <v>164</v>
      </c>
      <c r="C50" s="1"/>
    </row>
    <row r="51" spans="2:7" x14ac:dyDescent="0.2">
      <c r="B51" s="2" t="s">
        <v>0</v>
      </c>
      <c r="C51" s="1">
        <v>11.56</v>
      </c>
    </row>
    <row r="52" spans="2:7" x14ac:dyDescent="0.2">
      <c r="B52" s="2" t="s">
        <v>36</v>
      </c>
      <c r="C52" s="1">
        <v>4.1999999999999997E-3</v>
      </c>
    </row>
    <row r="53" spans="2:7" x14ac:dyDescent="0.2">
      <c r="B53" s="2" t="s">
        <v>37</v>
      </c>
      <c r="C53" s="46" t="s">
        <v>11</v>
      </c>
    </row>
    <row r="54" spans="2:7" x14ac:dyDescent="0.2">
      <c r="B54" s="2" t="s">
        <v>54</v>
      </c>
      <c r="C54" s="46" t="s">
        <v>41</v>
      </c>
    </row>
    <row r="55" spans="2:7" x14ac:dyDescent="0.2">
      <c r="B55" s="2" t="s">
        <v>55</v>
      </c>
      <c r="C55" s="1">
        <v>0.83199999999999996</v>
      </c>
    </row>
    <row r="57" spans="2:7" x14ac:dyDescent="0.2">
      <c r="B57" s="3" t="s">
        <v>44</v>
      </c>
      <c r="C57" s="76"/>
      <c r="D57" s="76"/>
      <c r="E57" s="76"/>
      <c r="F57" s="76"/>
      <c r="G57" s="76"/>
    </row>
    <row r="58" spans="2:7" x14ac:dyDescent="0.2">
      <c r="B58" s="76"/>
      <c r="C58" s="16" t="s">
        <v>45</v>
      </c>
      <c r="D58" s="16" t="s">
        <v>46</v>
      </c>
      <c r="E58" s="16" t="s">
        <v>47</v>
      </c>
      <c r="F58" s="16" t="s">
        <v>48</v>
      </c>
      <c r="G58" s="16" t="s">
        <v>5</v>
      </c>
    </row>
    <row r="59" spans="2:7" x14ac:dyDescent="0.2">
      <c r="B59" s="2" t="s">
        <v>6</v>
      </c>
      <c r="C59" s="1">
        <v>0.6079</v>
      </c>
      <c r="D59" s="1" t="s">
        <v>554</v>
      </c>
      <c r="E59" s="1" t="s">
        <v>41</v>
      </c>
      <c r="F59" s="1" t="s">
        <v>11</v>
      </c>
      <c r="G59" s="1">
        <v>9.5999999999999992E-3</v>
      </c>
    </row>
    <row r="60" spans="2:7" x14ac:dyDescent="0.2">
      <c r="B60" s="2" t="s">
        <v>7</v>
      </c>
      <c r="C60" s="1">
        <v>0.74129999999999996</v>
      </c>
      <c r="D60" s="1" t="s">
        <v>555</v>
      </c>
      <c r="E60" s="1" t="s">
        <v>41</v>
      </c>
      <c r="F60" s="1" t="s">
        <v>11</v>
      </c>
      <c r="G60" s="1">
        <v>6.1000000000000004E-3</v>
      </c>
    </row>
    <row r="61" spans="2:7" x14ac:dyDescent="0.2">
      <c r="B61" s="2" t="s">
        <v>8</v>
      </c>
      <c r="C61" s="1">
        <v>0.73089999999999999</v>
      </c>
      <c r="D61" s="1" t="s">
        <v>556</v>
      </c>
      <c r="E61" s="1" t="s">
        <v>41</v>
      </c>
      <c r="F61" s="1" t="s">
        <v>11</v>
      </c>
      <c r="G61" s="1">
        <v>3.5000000000000001E-3</v>
      </c>
    </row>
    <row r="66" spans="1:6" ht="18" x14ac:dyDescent="0.2">
      <c r="A66" s="80"/>
      <c r="B66" s="80"/>
      <c r="C66" s="9"/>
      <c r="D66" s="9"/>
      <c r="E66" s="9"/>
      <c r="F66" s="9"/>
    </row>
    <row r="67" spans="1:6" x14ac:dyDescent="0.2">
      <c r="A67" s="9"/>
      <c r="B67" s="9"/>
      <c r="C67" s="9"/>
      <c r="D67" s="9"/>
      <c r="E67" s="9"/>
      <c r="F67" s="9"/>
    </row>
    <row r="68" spans="1:6" ht="18" x14ac:dyDescent="0.2">
      <c r="A68" s="14" t="s">
        <v>557</v>
      </c>
      <c r="B68" s="14"/>
      <c r="C68" s="14"/>
      <c r="D68" s="93"/>
      <c r="E68" s="9"/>
      <c r="F68" s="9"/>
    </row>
    <row r="69" spans="1:6" x14ac:dyDescent="0.2">
      <c r="A69" s="9"/>
      <c r="B69" s="9"/>
      <c r="C69" s="9"/>
      <c r="D69" s="9"/>
      <c r="E69" s="9"/>
      <c r="F69" s="9"/>
    </row>
    <row r="70" spans="1:6" x14ac:dyDescent="0.2">
      <c r="A70" s="9"/>
      <c r="B70" s="9"/>
      <c r="C70" s="511" t="s">
        <v>562</v>
      </c>
      <c r="D70" s="512"/>
      <c r="E70" s="512"/>
      <c r="F70" s="513"/>
    </row>
    <row r="71" spans="1:6" x14ac:dyDescent="0.2">
      <c r="A71" s="9"/>
      <c r="B71" s="21"/>
      <c r="C71" s="22" t="s">
        <v>1</v>
      </c>
      <c r="D71" s="22" t="s">
        <v>2</v>
      </c>
      <c r="E71" s="22" t="s">
        <v>3</v>
      </c>
      <c r="F71" s="22" t="s">
        <v>4</v>
      </c>
    </row>
    <row r="72" spans="1:6" x14ac:dyDescent="0.2">
      <c r="A72" s="9"/>
      <c r="B72" s="11" t="s">
        <v>32</v>
      </c>
      <c r="C72" s="17">
        <v>0.71488436013488499</v>
      </c>
      <c r="D72" s="17">
        <v>1.5940051206817933</v>
      </c>
      <c r="E72" s="17">
        <v>2.4486307159443212</v>
      </c>
      <c r="F72" s="17">
        <v>1.9876549021203724</v>
      </c>
    </row>
    <row r="73" spans="1:6" x14ac:dyDescent="0.2">
      <c r="A73" s="9"/>
      <c r="B73" s="11" t="s">
        <v>33</v>
      </c>
      <c r="C73" s="17">
        <v>1.168201068226504</v>
      </c>
      <c r="D73" s="17">
        <v>2.1270504592511523</v>
      </c>
      <c r="E73" s="17">
        <v>2.705829514412371</v>
      </c>
      <c r="F73" s="17">
        <v>1.8870042879286995</v>
      </c>
    </row>
    <row r="74" spans="1:6" x14ac:dyDescent="0.2">
      <c r="A74" s="9"/>
      <c r="B74" s="11" t="s">
        <v>34</v>
      </c>
      <c r="C74" s="17">
        <v>1.1169145716386111</v>
      </c>
      <c r="D74" s="17">
        <v>1.8526925364088564</v>
      </c>
      <c r="E74" s="17">
        <v>3.3458450631346524</v>
      </c>
      <c r="F74" s="17">
        <v>1.6532723180096338</v>
      </c>
    </row>
    <row r="75" spans="1:6" x14ac:dyDescent="0.2">
      <c r="A75" s="9"/>
    </row>
    <row r="76" spans="1:6" x14ac:dyDescent="0.2">
      <c r="B76" s="17" t="s">
        <v>51</v>
      </c>
      <c r="C76" s="17">
        <f>AVERAGE(C72:C74)</f>
        <v>1</v>
      </c>
      <c r="D76" s="17">
        <f>AVERAGE(D72:D74)</f>
        <v>1.8579160387806006</v>
      </c>
      <c r="E76" s="17">
        <f>AVERAGE(E72:E74)</f>
        <v>2.8334350978304479</v>
      </c>
      <c r="F76" s="17">
        <f>AVERAGE(F72:F74)</f>
        <v>1.8426438360195687</v>
      </c>
    </row>
    <row r="77" spans="1:6" x14ac:dyDescent="0.2">
      <c r="B77" s="17" t="s">
        <v>13</v>
      </c>
      <c r="C77" s="17">
        <f>STDEV(C72:C74)</f>
        <v>0.24824538717735614</v>
      </c>
      <c r="D77" s="17">
        <f>STDEV(D72:D74)</f>
        <v>0.26656105674948355</v>
      </c>
      <c r="E77" s="17">
        <f>STDEV(E72:E74)</f>
        <v>0.46201816510895571</v>
      </c>
      <c r="F77" s="17">
        <f>STDEV(F72:F74)</f>
        <v>0.17154828885573453</v>
      </c>
    </row>
    <row r="78" spans="1:6" x14ac:dyDescent="0.2">
      <c r="B78" s="17" t="s">
        <v>14</v>
      </c>
      <c r="C78" s="45">
        <f>C77/(3^0.5)</f>
        <v>0.14332454111192944</v>
      </c>
      <c r="D78" s="45">
        <f>D77/(3^0.5)</f>
        <v>0.15389909786978545</v>
      </c>
      <c r="E78" s="45">
        <f>E77/(3^0.5)</f>
        <v>0.26674631199615256</v>
      </c>
      <c r="F78" s="45">
        <f>F77/(3^0.5)</f>
        <v>9.9043450749878012E-2</v>
      </c>
    </row>
    <row r="79" spans="1:6" x14ac:dyDescent="0.2">
      <c r="B79" s="9"/>
      <c r="C79" s="9"/>
      <c r="D79" s="9"/>
      <c r="E79" s="9"/>
      <c r="F79" s="9"/>
    </row>
    <row r="80" spans="1:6" x14ac:dyDescent="0.2">
      <c r="B80" s="9"/>
      <c r="C80" s="9"/>
      <c r="D80" s="9"/>
      <c r="E80" s="9"/>
      <c r="F80" s="9"/>
    </row>
    <row r="81" spans="2:7" ht="18" x14ac:dyDescent="0.2">
      <c r="B81" s="19" t="s">
        <v>52</v>
      </c>
      <c r="C81" s="20"/>
      <c r="D81" s="20"/>
      <c r="E81" s="20"/>
      <c r="F81" s="20"/>
    </row>
    <row r="83" spans="2:7" x14ac:dyDescent="0.2">
      <c r="B83" s="3" t="s">
        <v>164</v>
      </c>
      <c r="C83" s="1"/>
      <c r="D83" s="66"/>
      <c r="E83" s="66"/>
    </row>
    <row r="84" spans="2:7" x14ac:dyDescent="0.2">
      <c r="B84" s="2" t="s">
        <v>0</v>
      </c>
      <c r="D84" s="158"/>
      <c r="E84" s="158"/>
      <c r="F84" s="46">
        <v>17.95</v>
      </c>
    </row>
    <row r="85" spans="2:7" x14ac:dyDescent="0.2">
      <c r="B85" s="2" t="s">
        <v>36</v>
      </c>
      <c r="D85" s="158"/>
      <c r="E85" s="158"/>
      <c r="F85" s="46">
        <v>6.9999999999999999E-4</v>
      </c>
    </row>
    <row r="86" spans="2:7" x14ac:dyDescent="0.2">
      <c r="B86" s="2" t="s">
        <v>37</v>
      </c>
      <c r="D86" s="158"/>
      <c r="E86" s="158"/>
      <c r="F86" s="46" t="s">
        <v>10</v>
      </c>
    </row>
    <row r="87" spans="2:7" x14ac:dyDescent="0.2">
      <c r="B87" s="2" t="s">
        <v>54</v>
      </c>
      <c r="D87" s="158"/>
      <c r="E87" s="158"/>
      <c r="F87" s="46" t="s">
        <v>41</v>
      </c>
    </row>
    <row r="88" spans="2:7" x14ac:dyDescent="0.2">
      <c r="B88" s="2" t="s">
        <v>55</v>
      </c>
      <c r="D88" s="158"/>
      <c r="E88" s="158"/>
      <c r="F88" s="46">
        <v>0.87060000000000004</v>
      </c>
    </row>
    <row r="90" spans="2:7" x14ac:dyDescent="0.2">
      <c r="B90" s="3" t="s">
        <v>44</v>
      </c>
      <c r="C90" s="66"/>
      <c r="D90" s="66"/>
      <c r="E90" s="66"/>
    </row>
    <row r="91" spans="2:7" x14ac:dyDescent="0.2">
      <c r="C91" s="16" t="s">
        <v>45</v>
      </c>
      <c r="D91" s="16" t="s">
        <v>46</v>
      </c>
      <c r="E91" s="16" t="s">
        <v>47</v>
      </c>
      <c r="F91" s="16" t="s">
        <v>48</v>
      </c>
      <c r="G91" s="16" t="s">
        <v>5</v>
      </c>
    </row>
    <row r="92" spans="2:7" x14ac:dyDescent="0.2">
      <c r="B92" s="2" t="s">
        <v>606</v>
      </c>
      <c r="C92" s="1">
        <v>-0.8579</v>
      </c>
      <c r="D92" s="1" t="s">
        <v>608</v>
      </c>
      <c r="E92" s="1" t="s">
        <v>41</v>
      </c>
      <c r="F92" s="1" t="s">
        <v>12</v>
      </c>
      <c r="G92" s="1">
        <v>2.24E-2</v>
      </c>
    </row>
    <row r="93" spans="2:7" x14ac:dyDescent="0.2">
      <c r="B93" s="2" t="s">
        <v>607</v>
      </c>
      <c r="C93" s="1">
        <v>-1.833</v>
      </c>
      <c r="D93" s="1" t="s">
        <v>609</v>
      </c>
      <c r="E93" s="1" t="s">
        <v>41</v>
      </c>
      <c r="F93" s="1" t="s">
        <v>10</v>
      </c>
      <c r="G93" s="1">
        <v>2.0000000000000001E-4</v>
      </c>
    </row>
    <row r="94" spans="2:7" x14ac:dyDescent="0.2">
      <c r="B94" s="2" t="s">
        <v>8</v>
      </c>
      <c r="C94" s="1">
        <v>-0.84260000000000002</v>
      </c>
      <c r="D94" s="1" t="s">
        <v>610</v>
      </c>
      <c r="E94" s="1" t="s">
        <v>41</v>
      </c>
      <c r="F94" s="1" t="s">
        <v>12</v>
      </c>
      <c r="G94" s="1">
        <v>2.4500000000000001E-2</v>
      </c>
    </row>
    <row r="95" spans="2:7" x14ac:dyDescent="0.2">
      <c r="B95" s="2"/>
      <c r="C95" s="1"/>
      <c r="D95" s="1"/>
      <c r="E95" s="1"/>
      <c r="F95" s="1"/>
      <c r="G95" s="1"/>
    </row>
    <row r="97" spans="1:6" ht="18" x14ac:dyDescent="0.2">
      <c r="A97" s="14" t="s">
        <v>564</v>
      </c>
      <c r="B97" s="14"/>
      <c r="C97" s="49"/>
      <c r="D97" s="49"/>
      <c r="E97" s="9"/>
      <c r="F97" s="9"/>
    </row>
    <row r="98" spans="1:6" x14ac:dyDescent="0.2">
      <c r="A98" s="9"/>
      <c r="B98" s="9"/>
      <c r="C98" s="9"/>
      <c r="D98" s="9"/>
      <c r="E98" s="9"/>
      <c r="F98" s="9"/>
    </row>
    <row r="99" spans="1:6" x14ac:dyDescent="0.2">
      <c r="A99" s="9"/>
      <c r="B99" s="9"/>
      <c r="C99" s="511" t="s">
        <v>563</v>
      </c>
      <c r="D99" s="512"/>
      <c r="E99" s="512"/>
      <c r="F99" s="513"/>
    </row>
    <row r="100" spans="1:6" x14ac:dyDescent="0.2">
      <c r="A100" s="9"/>
      <c r="B100" s="21"/>
      <c r="C100" s="18" t="s">
        <v>1</v>
      </c>
      <c r="D100" s="22" t="s">
        <v>2</v>
      </c>
      <c r="E100" s="22" t="s">
        <v>3</v>
      </c>
      <c r="F100" s="22" t="s">
        <v>4</v>
      </c>
    </row>
    <row r="101" spans="1:6" x14ac:dyDescent="0.2">
      <c r="A101" s="9"/>
      <c r="B101" s="11" t="s">
        <v>32</v>
      </c>
      <c r="C101" s="17">
        <v>0.97691557243677263</v>
      </c>
      <c r="D101" s="17">
        <v>1.6655369660803321</v>
      </c>
      <c r="E101" s="17">
        <v>1.3678076000809567</v>
      </c>
      <c r="F101" s="17">
        <v>1.4381337729787524</v>
      </c>
    </row>
    <row r="102" spans="1:6" x14ac:dyDescent="0.2">
      <c r="A102" s="9"/>
      <c r="B102" s="11" t="s">
        <v>33</v>
      </c>
      <c r="C102" s="17">
        <v>1.0060609985708098</v>
      </c>
      <c r="D102" s="17">
        <v>1.8953124310231548</v>
      </c>
      <c r="E102" s="17">
        <v>1.3779223399281895</v>
      </c>
      <c r="F102" s="17">
        <v>1.9343383640672536</v>
      </c>
    </row>
    <row r="103" spans="1:6" x14ac:dyDescent="0.2">
      <c r="A103" s="9"/>
      <c r="B103" s="11" t="s">
        <v>34</v>
      </c>
      <c r="C103" s="17">
        <v>1.0170234289924174</v>
      </c>
      <c r="D103" s="17">
        <v>1.7986363977019992</v>
      </c>
      <c r="E103" s="17">
        <v>1.5889033778645922</v>
      </c>
      <c r="F103" s="17">
        <v>1.4033792466307087</v>
      </c>
    </row>
    <row r="104" spans="1:6" x14ac:dyDescent="0.2">
      <c r="A104" s="9"/>
    </row>
    <row r="105" spans="1:6" x14ac:dyDescent="0.2">
      <c r="B105" s="17" t="s">
        <v>51</v>
      </c>
      <c r="C105" s="17">
        <f>AVERAGE(C101:C103)</f>
        <v>1</v>
      </c>
      <c r="D105" s="17">
        <f>AVERAGE(D101:D103)</f>
        <v>1.7864952649351622</v>
      </c>
      <c r="E105" s="17">
        <f>AVERAGE(E101:E103)</f>
        <v>1.4448777726245794</v>
      </c>
      <c r="F105" s="17">
        <f>AVERAGE(F101:F103)</f>
        <v>1.5919504612255715</v>
      </c>
    </row>
    <row r="106" spans="1:6" x14ac:dyDescent="0.2">
      <c r="B106" s="17" t="s">
        <v>13</v>
      </c>
      <c r="C106" s="17">
        <f>STDEV(C101:C103)</f>
        <v>2.0729491482633217E-2</v>
      </c>
      <c r="D106" s="17">
        <f>STDEV(D101:D103)</f>
        <v>0.11536787421578448</v>
      </c>
      <c r="E106" s="17">
        <f>STDEV(E101:E103)</f>
        <v>0.12483232039062758</v>
      </c>
      <c r="F106" s="17">
        <f>STDEV(F101:F103)</f>
        <v>0.29702537986620492</v>
      </c>
    </row>
    <row r="107" spans="1:6" x14ac:dyDescent="0.2">
      <c r="B107" s="17" t="s">
        <v>14</v>
      </c>
      <c r="C107" s="45">
        <f>C106/(3^0.5)</f>
        <v>1.1968177487662343E-2</v>
      </c>
      <c r="D107" s="45">
        <f>D106/(3^0.5)</f>
        <v>6.6607673234318057E-2</v>
      </c>
      <c r="E107" s="45">
        <f>E106/(3^0.5)</f>
        <v>7.2071973781094451E-2</v>
      </c>
      <c r="F107" s="45">
        <f>F106/(3^0.5)</f>
        <v>0.17148768302190426</v>
      </c>
    </row>
    <row r="108" spans="1:6" x14ac:dyDescent="0.2">
      <c r="B108" s="9"/>
      <c r="C108" s="9"/>
      <c r="D108" s="9"/>
      <c r="E108" s="9"/>
      <c r="F108" s="9"/>
    </row>
    <row r="109" spans="1:6" x14ac:dyDescent="0.2">
      <c r="B109" s="9"/>
      <c r="C109" s="9"/>
      <c r="D109" s="9"/>
      <c r="E109" s="9"/>
      <c r="F109" s="9"/>
    </row>
    <row r="110" spans="1:6" ht="18" x14ac:dyDescent="0.2">
      <c r="B110" s="19" t="s">
        <v>52</v>
      </c>
      <c r="C110" s="20"/>
      <c r="D110" s="20"/>
      <c r="E110" s="20"/>
      <c r="F110" s="20"/>
    </row>
    <row r="112" spans="1:6" x14ac:dyDescent="0.2">
      <c r="B112" s="15" t="s">
        <v>53</v>
      </c>
      <c r="C112" s="1"/>
    </row>
    <row r="113" spans="2:7" x14ac:dyDescent="0.2">
      <c r="B113" s="2" t="s">
        <v>0</v>
      </c>
      <c r="F113" s="46">
        <v>11.43</v>
      </c>
    </row>
    <row r="114" spans="2:7" x14ac:dyDescent="0.2">
      <c r="B114" s="2" t="s">
        <v>36</v>
      </c>
      <c r="F114" s="46">
        <v>2.8999999999999998E-3</v>
      </c>
    </row>
    <row r="115" spans="2:7" x14ac:dyDescent="0.2">
      <c r="B115" s="2" t="s">
        <v>37</v>
      </c>
      <c r="F115" s="46" t="s">
        <v>11</v>
      </c>
    </row>
    <row r="116" spans="2:7" x14ac:dyDescent="0.2">
      <c r="B116" s="2" t="s">
        <v>54</v>
      </c>
      <c r="F116" s="46" t="s">
        <v>41</v>
      </c>
    </row>
    <row r="117" spans="2:7" x14ac:dyDescent="0.2">
      <c r="B117" s="2" t="s">
        <v>55</v>
      </c>
      <c r="F117" s="46">
        <v>0.81079999999999997</v>
      </c>
    </row>
    <row r="119" spans="2:7" x14ac:dyDescent="0.2">
      <c r="B119" s="3" t="s">
        <v>44</v>
      </c>
      <c r="C119" s="47"/>
      <c r="D119" s="47"/>
      <c r="E119" s="47"/>
      <c r="F119" s="47"/>
      <c r="G119" s="47"/>
    </row>
    <row r="120" spans="2:7" x14ac:dyDescent="0.2">
      <c r="B120" s="47"/>
      <c r="C120" s="16" t="s">
        <v>45</v>
      </c>
      <c r="D120" s="16" t="s">
        <v>46</v>
      </c>
      <c r="E120" s="16" t="s">
        <v>47</v>
      </c>
      <c r="F120" s="16" t="s">
        <v>48</v>
      </c>
      <c r="G120" s="16" t="s">
        <v>5</v>
      </c>
    </row>
    <row r="121" spans="2:7" x14ac:dyDescent="0.2">
      <c r="B121" s="2" t="s">
        <v>6</v>
      </c>
      <c r="C121" s="1">
        <v>-0.78649999999999998</v>
      </c>
      <c r="D121" s="1" t="s">
        <v>558</v>
      </c>
      <c r="E121" s="1" t="s">
        <v>41</v>
      </c>
      <c r="F121" s="1" t="s">
        <v>11</v>
      </c>
      <c r="G121" s="1">
        <v>1.2999999999999999E-3</v>
      </c>
    </row>
    <row r="122" spans="2:7" x14ac:dyDescent="0.2">
      <c r="B122" s="2" t="s">
        <v>7</v>
      </c>
      <c r="C122" s="1">
        <v>-0.44490000000000002</v>
      </c>
      <c r="D122" s="1" t="s">
        <v>559</v>
      </c>
      <c r="E122" s="1" t="s">
        <v>41</v>
      </c>
      <c r="F122" s="1" t="s">
        <v>12</v>
      </c>
      <c r="G122" s="1">
        <v>3.2199999999999999E-2</v>
      </c>
    </row>
    <row r="123" spans="2:7" x14ac:dyDescent="0.2">
      <c r="B123" s="2" t="s">
        <v>8</v>
      </c>
      <c r="C123" s="1">
        <v>-0.59199999999999997</v>
      </c>
      <c r="D123" s="1" t="s">
        <v>560</v>
      </c>
      <c r="E123" s="1" t="s">
        <v>41</v>
      </c>
      <c r="F123" s="1" t="s">
        <v>11</v>
      </c>
      <c r="G123" s="1">
        <v>7.4000000000000003E-3</v>
      </c>
    </row>
  </sheetData>
  <mergeCells count="4">
    <mergeCell ref="C6:F6"/>
    <mergeCell ref="C37:F37"/>
    <mergeCell ref="C70:F70"/>
    <mergeCell ref="C99:F99"/>
  </mergeCells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K105"/>
  <sheetViews>
    <sheetView workbookViewId="0">
      <selection activeCell="K26" sqref="K26"/>
    </sheetView>
  </sheetViews>
  <sheetFormatPr baseColWidth="10" defaultColWidth="10.83203125" defaultRowHeight="14" x14ac:dyDescent="0.15"/>
  <cols>
    <col min="1" max="1" width="10.83203125" style="9"/>
    <col min="2" max="2" width="18.33203125" style="9" customWidth="1"/>
    <col min="3" max="16384" width="10.83203125" style="9"/>
  </cols>
  <sheetData>
    <row r="2" spans="1:7" ht="18" x14ac:dyDescent="0.2">
      <c r="A2" s="53" t="s">
        <v>521</v>
      </c>
      <c r="B2" s="121"/>
    </row>
    <row r="3" spans="1:7" ht="18" x14ac:dyDescent="0.2">
      <c r="A3" s="80"/>
      <c r="B3" s="66"/>
    </row>
    <row r="4" spans="1:7" ht="18" x14ac:dyDescent="0.2">
      <c r="A4" s="53" t="s">
        <v>916</v>
      </c>
      <c r="B4" s="121"/>
      <c r="C4" s="8"/>
      <c r="D4" s="8"/>
    </row>
    <row r="6" spans="1:7" ht="18" x14ac:dyDescent="0.2">
      <c r="A6" s="14" t="s">
        <v>509</v>
      </c>
    </row>
    <row r="9" spans="1:7" x14ac:dyDescent="0.15">
      <c r="B9" s="21"/>
      <c r="C9" s="18" t="s">
        <v>1</v>
      </c>
      <c r="D9" s="22" t="s">
        <v>2</v>
      </c>
      <c r="E9" s="22" t="s">
        <v>3</v>
      </c>
      <c r="F9" s="22" t="s">
        <v>4</v>
      </c>
    </row>
    <row r="10" spans="1:7" x14ac:dyDescent="0.15">
      <c r="B10" s="11" t="s">
        <v>32</v>
      </c>
      <c r="C10" s="4">
        <v>1.0546411600000001</v>
      </c>
      <c r="D10" s="4">
        <v>0.73764567999999997</v>
      </c>
      <c r="E10" s="4">
        <v>0.76688853999999995</v>
      </c>
      <c r="F10" s="4">
        <v>0.88704919000000004</v>
      </c>
      <c r="G10" s="1"/>
    </row>
    <row r="11" spans="1:7" x14ac:dyDescent="0.15">
      <c r="B11" s="11" t="s">
        <v>33</v>
      </c>
      <c r="C11" s="4">
        <v>0.98626104999999997</v>
      </c>
      <c r="D11" s="4">
        <v>0.64796067999999996</v>
      </c>
      <c r="E11" s="4">
        <v>0.80604215999999995</v>
      </c>
      <c r="F11" s="4">
        <v>0.75776608000000001</v>
      </c>
      <c r="G11" s="1"/>
    </row>
    <row r="12" spans="1:7" x14ac:dyDescent="0.15">
      <c r="B12" s="11" t="s">
        <v>34</v>
      </c>
      <c r="C12" s="4">
        <v>0.95909778000000001</v>
      </c>
      <c r="D12" s="4">
        <v>0.57347086000000003</v>
      </c>
      <c r="E12" s="4"/>
      <c r="F12" s="4">
        <v>0.86336219000000003</v>
      </c>
      <c r="G12" s="1"/>
    </row>
    <row r="14" spans="1:7" x14ac:dyDescent="0.15">
      <c r="B14" s="17" t="s">
        <v>51</v>
      </c>
      <c r="C14" s="17">
        <f>AVERAGE(C10:C12)</f>
        <v>0.99999999666666672</v>
      </c>
      <c r="D14" s="17">
        <f>AVERAGE(D10:D12)</f>
        <v>0.65302574000000002</v>
      </c>
      <c r="E14" s="17">
        <f>AVERAGE(E10:E12)</f>
        <v>0.78646534999999995</v>
      </c>
      <c r="F14" s="17">
        <f>AVERAGE(F10:F12)</f>
        <v>0.83605915333333336</v>
      </c>
    </row>
    <row r="15" spans="1:7" x14ac:dyDescent="0.15">
      <c r="B15" s="17" t="s">
        <v>13</v>
      </c>
      <c r="C15" s="17">
        <f>STDEV(C10:C12)</f>
        <v>4.9231121834549307E-2</v>
      </c>
      <c r="D15" s="17">
        <f>STDEV(D10:D12)</f>
        <v>8.2204525453959829E-2</v>
      </c>
      <c r="E15" s="17">
        <f>STDEV(E10:E12)</f>
        <v>2.7685790210001233E-2</v>
      </c>
      <c r="F15" s="17">
        <f>STDEV(F10:F12)</f>
        <v>6.8830389300323119E-2</v>
      </c>
    </row>
    <row r="16" spans="1:7" x14ac:dyDescent="0.15">
      <c r="B16" s="17" t="s">
        <v>14</v>
      </c>
      <c r="C16" s="17">
        <f>C15/SQRT(3)</f>
        <v>2.8423601443684308E-2</v>
      </c>
      <c r="D16" s="17">
        <f>D15/SQRT(3)</f>
        <v>4.7460804899449156E-2</v>
      </c>
      <c r="E16" s="17">
        <f>E15/SQRT(2)</f>
        <v>1.957681E-2</v>
      </c>
      <c r="F16" s="17">
        <f>F15/SQRT(3)</f>
        <v>3.9739243790968291E-2</v>
      </c>
    </row>
    <row r="19" spans="2:7" ht="18" x14ac:dyDescent="0.2">
      <c r="B19" s="19" t="s">
        <v>52</v>
      </c>
      <c r="C19" s="20"/>
      <c r="D19" s="20"/>
      <c r="E19" s="20"/>
      <c r="F19" s="20"/>
    </row>
    <row r="21" spans="2:7" ht="16" x14ac:dyDescent="0.2">
      <c r="B21" s="15" t="s">
        <v>53</v>
      </c>
    </row>
    <row r="22" spans="2:7" x14ac:dyDescent="0.15">
      <c r="B22" s="2" t="s">
        <v>0</v>
      </c>
      <c r="E22" s="1">
        <v>15</v>
      </c>
    </row>
    <row r="23" spans="2:7" x14ac:dyDescent="0.15">
      <c r="B23" s="2" t="s">
        <v>36</v>
      </c>
      <c r="E23" s="1">
        <v>2E-3</v>
      </c>
    </row>
    <row r="24" spans="2:7" x14ac:dyDescent="0.15">
      <c r="B24" s="2" t="s">
        <v>37</v>
      </c>
      <c r="E24" s="46" t="s">
        <v>11</v>
      </c>
      <c r="F24" s="16"/>
    </row>
    <row r="25" spans="2:7" x14ac:dyDescent="0.15">
      <c r="B25" s="2" t="s">
        <v>54</v>
      </c>
      <c r="E25" s="46" t="s">
        <v>41</v>
      </c>
      <c r="F25" s="1"/>
    </row>
    <row r="26" spans="2:7" x14ac:dyDescent="0.15">
      <c r="B26" s="2" t="s">
        <v>55</v>
      </c>
      <c r="E26" s="1">
        <v>0.86529999999999996</v>
      </c>
      <c r="F26" s="1"/>
    </row>
    <row r="28" spans="2:7" ht="16" x14ac:dyDescent="0.2">
      <c r="B28" s="15" t="s">
        <v>44</v>
      </c>
      <c r="D28" s="2"/>
      <c r="E28" s="1"/>
      <c r="F28" s="1"/>
    </row>
    <row r="29" spans="2:7" x14ac:dyDescent="0.15">
      <c r="C29" s="16" t="s">
        <v>45</v>
      </c>
      <c r="D29" s="16" t="s">
        <v>46</v>
      </c>
      <c r="E29" s="16" t="s">
        <v>47</v>
      </c>
      <c r="F29" s="16" t="s">
        <v>48</v>
      </c>
      <c r="G29" s="16" t="s">
        <v>5</v>
      </c>
    </row>
    <row r="30" spans="2:7" x14ac:dyDescent="0.15">
      <c r="B30" s="2" t="s">
        <v>6</v>
      </c>
      <c r="C30" s="1">
        <v>0.34699999999999998</v>
      </c>
      <c r="D30" s="1" t="s">
        <v>510</v>
      </c>
      <c r="E30" s="1" t="s">
        <v>41</v>
      </c>
      <c r="F30" s="1" t="s">
        <v>10</v>
      </c>
      <c r="G30" s="50" t="s">
        <v>40</v>
      </c>
    </row>
    <row r="31" spans="2:7" x14ac:dyDescent="0.15">
      <c r="B31" s="2" t="s">
        <v>7</v>
      </c>
      <c r="C31" s="1">
        <v>0.2135</v>
      </c>
      <c r="D31" s="1" t="s">
        <v>511</v>
      </c>
      <c r="E31" s="1" t="s">
        <v>41</v>
      </c>
      <c r="F31" s="1" t="s">
        <v>12</v>
      </c>
      <c r="G31" s="49">
        <v>0.02</v>
      </c>
    </row>
    <row r="32" spans="2:7" x14ac:dyDescent="0.15">
      <c r="B32" s="2" t="s">
        <v>8</v>
      </c>
      <c r="C32" s="1">
        <v>0.16389999999999999</v>
      </c>
      <c r="D32" s="1" t="s">
        <v>512</v>
      </c>
      <c r="E32" s="1" t="s">
        <v>41</v>
      </c>
      <c r="F32" s="1" t="s">
        <v>12</v>
      </c>
      <c r="G32" s="49">
        <v>0.04</v>
      </c>
    </row>
    <row r="37" spans="1:10" ht="18" x14ac:dyDescent="0.2">
      <c r="A37" s="14" t="s">
        <v>513</v>
      </c>
    </row>
    <row r="40" spans="1:10" x14ac:dyDescent="0.15">
      <c r="B40" s="52"/>
      <c r="C40" s="18" t="s">
        <v>1</v>
      </c>
      <c r="D40" s="18" t="s">
        <v>2</v>
      </c>
      <c r="E40" s="18" t="s">
        <v>3</v>
      </c>
      <c r="F40" s="18" t="s">
        <v>4</v>
      </c>
    </row>
    <row r="41" spans="1:10" x14ac:dyDescent="0.15">
      <c r="B41" s="11" t="s">
        <v>32</v>
      </c>
      <c r="C41" s="54">
        <v>1.0142408282184456</v>
      </c>
      <c r="D41" s="4">
        <v>0.72446151966742467</v>
      </c>
      <c r="E41" s="4">
        <v>0.6789736181143915</v>
      </c>
      <c r="F41" s="4">
        <v>0.77704418248566576</v>
      </c>
      <c r="H41" s="3"/>
    </row>
    <row r="42" spans="1:10" x14ac:dyDescent="0.15">
      <c r="B42" s="11" t="s">
        <v>33</v>
      </c>
      <c r="C42" s="54">
        <v>0.97451551269342773</v>
      </c>
      <c r="D42" s="4">
        <v>0.69387170555543465</v>
      </c>
      <c r="E42" s="4">
        <v>0.86043009128003811</v>
      </c>
      <c r="F42" s="4">
        <v>0.76568027538287886</v>
      </c>
      <c r="H42" s="1"/>
      <c r="J42" s="2"/>
    </row>
    <row r="43" spans="1:10" x14ac:dyDescent="0.15">
      <c r="B43" s="11" t="s">
        <v>34</v>
      </c>
      <c r="C43" s="54">
        <v>1.0112436590881269</v>
      </c>
      <c r="D43" s="4"/>
      <c r="E43" s="4"/>
      <c r="F43" s="4">
        <v>0.82890231040616325</v>
      </c>
      <c r="H43" s="1"/>
      <c r="J43" s="2"/>
    </row>
    <row r="44" spans="1:10" x14ac:dyDescent="0.15">
      <c r="J44" s="2"/>
    </row>
    <row r="45" spans="1:10" x14ac:dyDescent="0.15">
      <c r="B45" s="17" t="s">
        <v>51</v>
      </c>
      <c r="C45" s="17">
        <f>AVERAGE(C41:C43)</f>
        <v>1</v>
      </c>
      <c r="D45" s="17">
        <f>AVERAGE(D41:D43)</f>
        <v>0.70916661261142966</v>
      </c>
      <c r="E45" s="17">
        <f>AVERAGE(E41:E43)</f>
        <v>0.76970185469721475</v>
      </c>
      <c r="F45" s="17">
        <f>AVERAGE(F41:F43)</f>
        <v>0.79054225609156925</v>
      </c>
    </row>
    <row r="46" spans="1:10" x14ac:dyDescent="0.15">
      <c r="B46" s="17" t="s">
        <v>13</v>
      </c>
      <c r="C46" s="17">
        <f>STDEV(C41:C43)</f>
        <v>2.2121032427490112E-2</v>
      </c>
      <c r="D46" s="17">
        <f>STDEV(D41:D43)</f>
        <v>2.1630264993824092E-2</v>
      </c>
      <c r="E46" s="17">
        <f>STDEV(E41:E43)</f>
        <v>0.12830910266562365</v>
      </c>
      <c r="F46" s="17">
        <f>STDEV(F41:F43)</f>
        <v>3.3703188594317625E-2</v>
      </c>
    </row>
    <row r="47" spans="1:10" x14ac:dyDescent="0.15">
      <c r="B47" s="17" t="s">
        <v>14</v>
      </c>
      <c r="C47" s="17">
        <f>C46/SQRT(3)</f>
        <v>1.2771584026763858E-2</v>
      </c>
      <c r="D47" s="17">
        <f>D46/SQRT(2)</f>
        <v>1.5294907055995011E-2</v>
      </c>
      <c r="E47" s="17">
        <f>E46/SQRT(2)</f>
        <v>9.0728236582823391E-2</v>
      </c>
      <c r="F47" s="17">
        <f>F46/SQRT(3)</f>
        <v>1.9458545007478005E-2</v>
      </c>
    </row>
    <row r="50" spans="2:7" ht="18" x14ac:dyDescent="0.2">
      <c r="B50" s="19" t="s">
        <v>52</v>
      </c>
      <c r="C50" s="20"/>
      <c r="D50" s="20"/>
      <c r="E50" s="20"/>
      <c r="F50" s="20"/>
    </row>
    <row r="52" spans="2:7" ht="16" x14ac:dyDescent="0.2">
      <c r="B52" s="15" t="s">
        <v>53</v>
      </c>
      <c r="C52" s="1"/>
    </row>
    <row r="53" spans="2:7" x14ac:dyDescent="0.15">
      <c r="B53" s="2" t="s">
        <v>0</v>
      </c>
      <c r="E53" s="1">
        <v>12.66</v>
      </c>
    </row>
    <row r="54" spans="2:7" x14ac:dyDescent="0.15">
      <c r="B54" s="2" t="s">
        <v>36</v>
      </c>
      <c r="E54" s="1">
        <v>5.0000000000000001E-3</v>
      </c>
    </row>
    <row r="55" spans="2:7" x14ac:dyDescent="0.15">
      <c r="B55" s="2" t="s">
        <v>37</v>
      </c>
      <c r="E55" s="46" t="s">
        <v>11</v>
      </c>
    </row>
    <row r="56" spans="2:7" x14ac:dyDescent="0.15">
      <c r="B56" s="2" t="s">
        <v>54</v>
      </c>
      <c r="E56" s="46" t="s">
        <v>41</v>
      </c>
    </row>
    <row r="57" spans="2:7" x14ac:dyDescent="0.15">
      <c r="B57" s="2" t="s">
        <v>55</v>
      </c>
      <c r="E57" s="1">
        <v>0.86360000000000003</v>
      </c>
    </row>
    <row r="60" spans="2:7" ht="16" x14ac:dyDescent="0.2">
      <c r="B60" s="15" t="s">
        <v>44</v>
      </c>
      <c r="D60" s="2"/>
      <c r="E60" s="1"/>
      <c r="F60" s="1"/>
    </row>
    <row r="61" spans="2:7" x14ac:dyDescent="0.15">
      <c r="C61" s="16" t="s">
        <v>45</v>
      </c>
      <c r="D61" s="16" t="s">
        <v>46</v>
      </c>
      <c r="E61" s="16" t="s">
        <v>47</v>
      </c>
      <c r="F61" s="16" t="s">
        <v>48</v>
      </c>
      <c r="G61" s="16" t="s">
        <v>5</v>
      </c>
    </row>
    <row r="62" spans="2:7" x14ac:dyDescent="0.15">
      <c r="B62" s="2" t="s">
        <v>6</v>
      </c>
      <c r="C62" s="1">
        <v>0.2908</v>
      </c>
      <c r="D62" s="1" t="s">
        <v>514</v>
      </c>
      <c r="E62" s="1" t="s">
        <v>41</v>
      </c>
      <c r="F62" s="1" t="s">
        <v>11</v>
      </c>
      <c r="G62" s="1">
        <v>4.0000000000000001E-3</v>
      </c>
    </row>
    <row r="63" spans="2:7" x14ac:dyDescent="0.15">
      <c r="B63" s="2" t="s">
        <v>7</v>
      </c>
      <c r="C63" s="1">
        <v>0.2303</v>
      </c>
      <c r="D63" s="1" t="s">
        <v>515</v>
      </c>
      <c r="E63" s="1" t="s">
        <v>41</v>
      </c>
      <c r="F63" s="1" t="s">
        <v>12</v>
      </c>
      <c r="G63" s="1">
        <v>0.01</v>
      </c>
    </row>
    <row r="64" spans="2:7" x14ac:dyDescent="0.15">
      <c r="B64" s="2" t="s">
        <v>8</v>
      </c>
      <c r="C64" s="1">
        <v>0.20949999999999999</v>
      </c>
      <c r="D64" s="1" t="s">
        <v>516</v>
      </c>
      <c r="E64" s="1" t="s">
        <v>41</v>
      </c>
      <c r="F64" s="1" t="s">
        <v>12</v>
      </c>
      <c r="G64" s="1">
        <v>0.01</v>
      </c>
    </row>
    <row r="69" spans="1:6" ht="18" x14ac:dyDescent="0.2">
      <c r="A69" s="14" t="s">
        <v>517</v>
      </c>
    </row>
    <row r="72" spans="1:6" x14ac:dyDescent="0.15">
      <c r="B72" s="52"/>
      <c r="C72" s="18" t="s">
        <v>1</v>
      </c>
      <c r="D72" s="18" t="s">
        <v>2</v>
      </c>
      <c r="E72" s="18" t="s">
        <v>3</v>
      </c>
      <c r="F72" s="18" t="s">
        <v>4</v>
      </c>
    </row>
    <row r="73" spans="1:6" x14ac:dyDescent="0.15">
      <c r="B73" s="11" t="s">
        <v>32</v>
      </c>
      <c r="C73" s="17">
        <v>0.94053892506416203</v>
      </c>
      <c r="D73" s="17">
        <v>0.59260897486747721</v>
      </c>
      <c r="E73" s="17">
        <v>0.46461717847858275</v>
      </c>
      <c r="F73" s="17">
        <v>0.60085427202626485</v>
      </c>
    </row>
    <row r="74" spans="1:6" x14ac:dyDescent="0.15">
      <c r="B74" s="11" t="s">
        <v>33</v>
      </c>
      <c r="C74" s="17">
        <v>1.0329815003820741</v>
      </c>
      <c r="D74" s="17">
        <v>0.57187689134929987</v>
      </c>
      <c r="E74" s="17">
        <v>0.60139150848325018</v>
      </c>
      <c r="F74" s="17">
        <v>0.52206092982017438</v>
      </c>
    </row>
    <row r="75" spans="1:6" x14ac:dyDescent="0.15">
      <c r="B75" s="11" t="s">
        <v>34</v>
      </c>
      <c r="C75" s="17">
        <v>1.026479574553764</v>
      </c>
      <c r="D75" s="17"/>
      <c r="E75" s="17"/>
      <c r="F75" s="17"/>
    </row>
    <row r="77" spans="1:6" x14ac:dyDescent="0.15">
      <c r="B77" s="17" t="s">
        <v>51</v>
      </c>
      <c r="C77" s="17">
        <f>AVERAGE(C73:C75)</f>
        <v>1</v>
      </c>
      <c r="D77" s="17">
        <f>AVERAGE(D73:D75)</f>
        <v>0.58224293310838848</v>
      </c>
      <c r="E77" s="17">
        <f>AVERAGE(E73:E75)</f>
        <v>0.53300434348091641</v>
      </c>
      <c r="F77" s="17">
        <f>AVERAGE(F73:F75)</f>
        <v>0.56145760092321961</v>
      </c>
    </row>
    <row r="78" spans="1:6" x14ac:dyDescent="0.15">
      <c r="B78" s="17" t="s">
        <v>13</v>
      </c>
      <c r="C78" s="17">
        <f>STDEV(C73:C75)</f>
        <v>5.1597319060811886E-2</v>
      </c>
      <c r="D78" s="17">
        <f>STDEV(D73:D74)</f>
        <v>1.4659796843829058E-2</v>
      </c>
      <c r="E78" s="17">
        <f>STDEV(E73:E75)</f>
        <v>9.6714056238547591E-2</v>
      </c>
      <c r="F78" s="17">
        <f>STDEV(F73:F75)</f>
        <v>5.5715306586278775E-2</v>
      </c>
    </row>
    <row r="79" spans="1:6" x14ac:dyDescent="0.15">
      <c r="B79" s="17" t="s">
        <v>14</v>
      </c>
      <c r="C79" s="17">
        <f>C78/SQRT(3)</f>
        <v>2.9789726049222753E-2</v>
      </c>
      <c r="D79" s="17">
        <f>D78/SQRT(2)</f>
        <v>1.0366041759088673E-2</v>
      </c>
      <c r="E79" s="17">
        <f>E78/SQRT(2)</f>
        <v>6.8387165002334119E-2</v>
      </c>
      <c r="F79" s="17">
        <f>F78/SQRT(2)</f>
        <v>3.9396671103045233E-2</v>
      </c>
    </row>
    <row r="82" spans="2:7" ht="18" x14ac:dyDescent="0.2">
      <c r="B82" s="19" t="s">
        <v>52</v>
      </c>
      <c r="C82" s="20"/>
      <c r="D82" s="20"/>
      <c r="E82" s="20"/>
      <c r="F82" s="20"/>
    </row>
    <row r="84" spans="2:7" ht="16" x14ac:dyDescent="0.2">
      <c r="B84" s="15" t="s">
        <v>53</v>
      </c>
      <c r="C84" s="1"/>
    </row>
    <row r="85" spans="2:7" x14ac:dyDescent="0.15">
      <c r="B85" s="2" t="s">
        <v>0</v>
      </c>
      <c r="E85" s="1">
        <v>36.26</v>
      </c>
    </row>
    <row r="86" spans="2:7" x14ac:dyDescent="0.15">
      <c r="B86" s="2" t="s">
        <v>36</v>
      </c>
      <c r="E86" s="46" t="s">
        <v>40</v>
      </c>
    </row>
    <row r="87" spans="2:7" x14ac:dyDescent="0.15">
      <c r="B87" s="2" t="s">
        <v>37</v>
      </c>
      <c r="E87" s="46" t="s">
        <v>10</v>
      </c>
    </row>
    <row r="88" spans="2:7" x14ac:dyDescent="0.15">
      <c r="B88" s="2" t="s">
        <v>54</v>
      </c>
      <c r="E88" s="46" t="s">
        <v>41</v>
      </c>
    </row>
    <row r="89" spans="2:7" x14ac:dyDescent="0.15">
      <c r="B89" s="2" t="s">
        <v>55</v>
      </c>
      <c r="E89" s="1">
        <v>0.95609999999999995</v>
      </c>
    </row>
    <row r="92" spans="2:7" ht="16" x14ac:dyDescent="0.2">
      <c r="B92" s="15" t="s">
        <v>44</v>
      </c>
      <c r="D92" s="2"/>
      <c r="E92" s="1"/>
      <c r="F92" s="1"/>
    </row>
    <row r="93" spans="2:7" x14ac:dyDescent="0.15">
      <c r="C93" s="16" t="s">
        <v>45</v>
      </c>
      <c r="D93" s="16" t="s">
        <v>46</v>
      </c>
      <c r="E93" s="16" t="s">
        <v>47</v>
      </c>
      <c r="F93" s="16" t="s">
        <v>48</v>
      </c>
      <c r="G93" s="16" t="s">
        <v>5</v>
      </c>
    </row>
    <row r="94" spans="2:7" x14ac:dyDescent="0.15">
      <c r="B94" s="2" t="s">
        <v>6</v>
      </c>
      <c r="C94" s="1">
        <v>0.4178</v>
      </c>
      <c r="D94" s="1" t="s">
        <v>518</v>
      </c>
      <c r="E94" s="1" t="s">
        <v>41</v>
      </c>
      <c r="F94" s="1" t="s">
        <v>11</v>
      </c>
      <c r="G94" s="1">
        <v>2E-3</v>
      </c>
    </row>
    <row r="95" spans="2:7" x14ac:dyDescent="0.15">
      <c r="B95" s="2" t="s">
        <v>7</v>
      </c>
      <c r="C95" s="1">
        <v>0.46700000000000003</v>
      </c>
      <c r="D95" s="1" t="s">
        <v>519</v>
      </c>
      <c r="E95" s="1" t="s">
        <v>41</v>
      </c>
      <c r="F95" s="1" t="s">
        <v>10</v>
      </c>
      <c r="G95" s="46" t="s">
        <v>40</v>
      </c>
    </row>
    <row r="96" spans="2:7" x14ac:dyDescent="0.15">
      <c r="B96" s="2" t="s">
        <v>8</v>
      </c>
      <c r="C96" s="1">
        <v>0.4385</v>
      </c>
      <c r="D96" s="1" t="s">
        <v>520</v>
      </c>
      <c r="E96" s="1" t="s">
        <v>41</v>
      </c>
      <c r="F96" s="1" t="s">
        <v>11</v>
      </c>
      <c r="G96" s="1">
        <v>1E-3</v>
      </c>
    </row>
    <row r="102" spans="1:11" x14ac:dyDescent="0.15">
      <c r="A102" s="52"/>
      <c r="B102" s="145"/>
      <c r="C102" s="145"/>
      <c r="D102" s="145"/>
      <c r="E102" s="145"/>
      <c r="G102" s="3"/>
      <c r="K102" s="16"/>
    </row>
    <row r="103" spans="1:11" x14ac:dyDescent="0.15">
      <c r="G103" s="1"/>
      <c r="I103" s="2"/>
      <c r="J103" s="1"/>
      <c r="K103" s="1"/>
    </row>
    <row r="104" spans="1:11" x14ac:dyDescent="0.15">
      <c r="G104" s="1"/>
      <c r="I104" s="2"/>
      <c r="J104" s="1"/>
      <c r="K104" s="1"/>
    </row>
    <row r="105" spans="1:11" x14ac:dyDescent="0.15">
      <c r="I105" s="2"/>
      <c r="J105" s="1"/>
      <c r="K105" s="1"/>
    </row>
  </sheetData>
  <pageMargins left="0.7" right="0.7" top="0.78740157499999996" bottom="0.78740157499999996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K105"/>
  <sheetViews>
    <sheetView workbookViewId="0">
      <selection activeCell="I15" sqref="I15"/>
    </sheetView>
  </sheetViews>
  <sheetFormatPr baseColWidth="10" defaultColWidth="10.83203125" defaultRowHeight="14" x14ac:dyDescent="0.15"/>
  <cols>
    <col min="1" max="1" width="10.83203125" style="9"/>
    <col min="2" max="2" width="18.33203125" style="9" customWidth="1"/>
    <col min="3" max="16384" width="10.83203125" style="9"/>
  </cols>
  <sheetData>
    <row r="2" spans="1:7" ht="18" x14ac:dyDescent="0.2">
      <c r="A2" s="53" t="s">
        <v>532</v>
      </c>
      <c r="B2" s="121"/>
    </row>
    <row r="3" spans="1:7" ht="18" x14ac:dyDescent="0.2">
      <c r="A3" s="80"/>
      <c r="B3" s="66"/>
    </row>
    <row r="4" spans="1:7" ht="18" x14ac:dyDescent="0.2">
      <c r="A4" s="53" t="s">
        <v>917</v>
      </c>
      <c r="B4" s="121"/>
      <c r="C4" s="8"/>
      <c r="D4" s="8"/>
      <c r="E4" s="8"/>
    </row>
    <row r="6" spans="1:7" ht="18" x14ac:dyDescent="0.2">
      <c r="A6" s="14" t="s">
        <v>509</v>
      </c>
    </row>
    <row r="9" spans="1:7" x14ac:dyDescent="0.15">
      <c r="B9" s="21"/>
      <c r="C9" s="18" t="s">
        <v>1</v>
      </c>
      <c r="D9" s="22" t="s">
        <v>2</v>
      </c>
      <c r="E9" s="22" t="s">
        <v>3</v>
      </c>
      <c r="F9" s="22" t="s">
        <v>4</v>
      </c>
    </row>
    <row r="10" spans="1:7" x14ac:dyDescent="0.15">
      <c r="B10" s="11" t="s">
        <v>32</v>
      </c>
      <c r="C10" s="4">
        <v>1.0259280105894673</v>
      </c>
      <c r="D10" s="4">
        <v>1.4516093666877186</v>
      </c>
      <c r="E10" s="4">
        <v>1.3726114079064857</v>
      </c>
      <c r="F10" s="4">
        <v>1.0231539585727807</v>
      </c>
      <c r="G10" s="1"/>
    </row>
    <row r="11" spans="1:7" x14ac:dyDescent="0.15">
      <c r="B11" s="11" t="s">
        <v>33</v>
      </c>
      <c r="C11" s="4">
        <v>1.0173860781084803</v>
      </c>
      <c r="D11" s="4">
        <v>1.3981539755523946</v>
      </c>
      <c r="E11" s="4">
        <v>1.0825046710285013</v>
      </c>
      <c r="F11" s="4">
        <v>1.0751017828682805</v>
      </c>
      <c r="G11" s="1"/>
    </row>
    <row r="12" spans="1:7" x14ac:dyDescent="0.15">
      <c r="B12" s="11" t="s">
        <v>34</v>
      </c>
      <c r="C12" s="4">
        <v>0.95668591130205249</v>
      </c>
      <c r="D12" s="4">
        <v>0.99221402167193584</v>
      </c>
      <c r="E12" s="4"/>
      <c r="F12" s="4">
        <v>1.2986145242026226</v>
      </c>
      <c r="G12" s="1"/>
    </row>
    <row r="14" spans="1:7" x14ac:dyDescent="0.15">
      <c r="B14" s="17" t="s">
        <v>51</v>
      </c>
      <c r="C14" s="17">
        <f>AVERAGE(C10:C12)</f>
        <v>1</v>
      </c>
      <c r="D14" s="17">
        <f>AVERAGE(D10:D12)</f>
        <v>1.2806591213040164</v>
      </c>
      <c r="E14" s="17">
        <f>AVERAGE(E10:E12)</f>
        <v>1.2275580394674934</v>
      </c>
      <c r="F14" s="17">
        <f>AVERAGE(F10:F12)</f>
        <v>1.1322900885478946</v>
      </c>
    </row>
    <row r="15" spans="1:7" x14ac:dyDescent="0.15">
      <c r="B15" s="17" t="s">
        <v>13</v>
      </c>
      <c r="C15" s="17">
        <f>STDEV(C10:C12)</f>
        <v>3.7753461595298556E-2</v>
      </c>
      <c r="D15" s="17">
        <f>STDEV(D10:D12)</f>
        <v>0.25122659360958988</v>
      </c>
      <c r="E15" s="17">
        <f>STDEV(E10:E12)</f>
        <v>0.20513644091432601</v>
      </c>
      <c r="F15" s="17">
        <f>STDEV(F10:F12)</f>
        <v>0.14636429733427736</v>
      </c>
    </row>
    <row r="16" spans="1:7" x14ac:dyDescent="0.15">
      <c r="B16" s="17" t="s">
        <v>14</v>
      </c>
      <c r="C16" s="17">
        <f>C15/SQRT(3)</f>
        <v>2.1796971214885819E-2</v>
      </c>
      <c r="D16" s="17">
        <f>D15/SQRT(3)</f>
        <v>0.14504574144808943</v>
      </c>
      <c r="E16" s="17">
        <f>E15/SQRT(2)</f>
        <v>0.14505336843899344</v>
      </c>
      <c r="F16" s="17">
        <f>F15/SQRT(3)</f>
        <v>8.4503466465695468E-2</v>
      </c>
    </row>
    <row r="19" spans="2:7" ht="18" x14ac:dyDescent="0.2">
      <c r="B19" s="19" t="s">
        <v>52</v>
      </c>
      <c r="C19" s="20"/>
      <c r="D19" s="20"/>
      <c r="E19" s="20"/>
      <c r="F19" s="20"/>
    </row>
    <row r="21" spans="2:7" ht="16" x14ac:dyDescent="0.2">
      <c r="B21" s="15" t="s">
        <v>53</v>
      </c>
    </row>
    <row r="22" spans="2:7" x14ac:dyDescent="0.15">
      <c r="B22" s="2" t="s">
        <v>0</v>
      </c>
      <c r="E22" s="1">
        <v>1.4339999999999999</v>
      </c>
    </row>
    <row r="23" spans="2:7" x14ac:dyDescent="0.15">
      <c r="B23" s="2" t="s">
        <v>36</v>
      </c>
      <c r="E23" s="1">
        <v>0.31</v>
      </c>
    </row>
    <row r="24" spans="2:7" x14ac:dyDescent="0.15">
      <c r="B24" s="2" t="s">
        <v>37</v>
      </c>
      <c r="E24" s="46" t="s">
        <v>9</v>
      </c>
      <c r="F24" s="16"/>
    </row>
    <row r="25" spans="2:7" x14ac:dyDescent="0.15">
      <c r="B25" s="2" t="s">
        <v>54</v>
      </c>
      <c r="E25" s="46" t="s">
        <v>49</v>
      </c>
      <c r="F25" s="1"/>
    </row>
    <row r="26" spans="2:7" x14ac:dyDescent="0.15">
      <c r="B26" s="2" t="s">
        <v>55</v>
      </c>
      <c r="E26" s="1">
        <v>0.38059999999999999</v>
      </c>
      <c r="F26" s="1"/>
    </row>
    <row r="28" spans="2:7" ht="16" x14ac:dyDescent="0.2">
      <c r="B28" s="15" t="s">
        <v>44</v>
      </c>
      <c r="D28" s="2"/>
      <c r="E28" s="1"/>
      <c r="F28" s="1"/>
    </row>
    <row r="29" spans="2:7" x14ac:dyDescent="0.15">
      <c r="C29" s="16" t="s">
        <v>45</v>
      </c>
      <c r="D29" s="16" t="s">
        <v>46</v>
      </c>
      <c r="E29" s="16" t="s">
        <v>47</v>
      </c>
      <c r="F29" s="16" t="s">
        <v>48</v>
      </c>
      <c r="G29" s="16" t="s">
        <v>5</v>
      </c>
    </row>
    <row r="30" spans="2:7" x14ac:dyDescent="0.15">
      <c r="B30" s="2" t="s">
        <v>6</v>
      </c>
      <c r="C30" s="1">
        <v>-0.28070000000000001</v>
      </c>
      <c r="D30" s="1" t="s">
        <v>523</v>
      </c>
      <c r="E30" s="1" t="s">
        <v>49</v>
      </c>
      <c r="F30" s="1" t="s">
        <v>9</v>
      </c>
      <c r="G30" s="1">
        <v>0.2</v>
      </c>
    </row>
    <row r="31" spans="2:7" x14ac:dyDescent="0.15">
      <c r="B31" s="2" t="s">
        <v>7</v>
      </c>
      <c r="C31" s="1">
        <v>-0.2276</v>
      </c>
      <c r="D31" s="1" t="s">
        <v>524</v>
      </c>
      <c r="E31" s="1" t="s">
        <v>49</v>
      </c>
      <c r="F31" s="1" t="s">
        <v>9</v>
      </c>
      <c r="G31" s="1">
        <v>0.41</v>
      </c>
    </row>
    <row r="32" spans="2:7" x14ac:dyDescent="0.15">
      <c r="B32" s="2" t="s">
        <v>8</v>
      </c>
      <c r="C32" s="1">
        <v>-0.1323</v>
      </c>
      <c r="D32" s="1" t="s">
        <v>525</v>
      </c>
      <c r="E32" s="1" t="s">
        <v>49</v>
      </c>
      <c r="F32" s="1" t="s">
        <v>9</v>
      </c>
      <c r="G32" s="1">
        <v>0.7</v>
      </c>
    </row>
    <row r="37" spans="1:10" ht="18" x14ac:dyDescent="0.2">
      <c r="A37" s="14" t="s">
        <v>513</v>
      </c>
    </row>
    <row r="40" spans="1:10" x14ac:dyDescent="0.15">
      <c r="B40" s="52"/>
      <c r="C40" s="18" t="s">
        <v>1</v>
      </c>
      <c r="D40" s="18" t="s">
        <v>2</v>
      </c>
      <c r="E40" s="18" t="s">
        <v>3</v>
      </c>
      <c r="F40" s="18" t="s">
        <v>4</v>
      </c>
    </row>
    <row r="41" spans="1:10" x14ac:dyDescent="0.15">
      <c r="B41" s="11" t="s">
        <v>32</v>
      </c>
      <c r="C41" s="54">
        <v>0.9496553871815171</v>
      </c>
      <c r="D41" s="4">
        <v>1.126479664545621</v>
      </c>
      <c r="E41" s="4">
        <v>0.9910098279568742</v>
      </c>
      <c r="F41" s="4">
        <v>1.2247363987797069</v>
      </c>
      <c r="H41" s="3"/>
    </row>
    <row r="42" spans="1:10" x14ac:dyDescent="0.15">
      <c r="B42" s="11" t="s">
        <v>33</v>
      </c>
      <c r="C42" s="54">
        <v>1.0055089935077113</v>
      </c>
      <c r="D42" s="4">
        <v>0.68916496669474359</v>
      </c>
      <c r="E42" s="4">
        <v>0.68754272365374181</v>
      </c>
      <c r="F42" s="4">
        <v>0.75992095704170848</v>
      </c>
      <c r="H42" s="1"/>
      <c r="J42" s="2"/>
    </row>
    <row r="43" spans="1:10" x14ac:dyDescent="0.15">
      <c r="B43" s="11" t="s">
        <v>34</v>
      </c>
      <c r="C43" s="54">
        <v>1.0448356193107717</v>
      </c>
      <c r="D43" s="4">
        <v>1.1349834572829405</v>
      </c>
      <c r="E43" s="4"/>
      <c r="F43" s="4">
        <v>1.1650333630900551</v>
      </c>
      <c r="H43" s="1"/>
      <c r="J43" s="2"/>
    </row>
    <row r="44" spans="1:10" x14ac:dyDescent="0.15">
      <c r="B44" s="11" t="s">
        <v>35</v>
      </c>
      <c r="C44" s="17"/>
      <c r="D44" s="17">
        <v>1.0507877376963497</v>
      </c>
      <c r="E44" s="17"/>
      <c r="F44" s="17"/>
      <c r="J44" s="2"/>
    </row>
    <row r="46" spans="1:10" x14ac:dyDescent="0.15">
      <c r="B46" s="17" t="s">
        <v>51</v>
      </c>
      <c r="C46" s="17">
        <f>AVERAGE(C41:C43)</f>
        <v>1</v>
      </c>
      <c r="D46" s="17">
        <f>AVERAGE(D41:D44)</f>
        <v>1.0003539565549138</v>
      </c>
      <c r="E46" s="17">
        <f>AVERAGE(E41:E43)</f>
        <v>0.83927627580530806</v>
      </c>
      <c r="F46" s="17">
        <f>AVERAGE(F41:F43)</f>
        <v>1.0498969063038235</v>
      </c>
    </row>
    <row r="47" spans="1:10" x14ac:dyDescent="0.15">
      <c r="B47" s="17" t="s">
        <v>13</v>
      </c>
      <c r="C47" s="17">
        <f>STDEV(C41:C43)</f>
        <v>4.7828661952282366E-2</v>
      </c>
      <c r="D47" s="17">
        <f>STDEV(D41:D44)</f>
        <v>0.21088302474187745</v>
      </c>
      <c r="E47" s="17">
        <f>STDEV(E41:E43)</f>
        <v>0.21458364731978971</v>
      </c>
      <c r="F47" s="17">
        <f>STDEV(F41:F43)</f>
        <v>0.25289454616596307</v>
      </c>
    </row>
    <row r="48" spans="1:10" x14ac:dyDescent="0.15">
      <c r="B48" s="17" t="s">
        <v>14</v>
      </c>
      <c r="C48" s="17">
        <f>C47/SQRT(3)</f>
        <v>2.7613890853129836E-2</v>
      </c>
      <c r="D48" s="17">
        <f>D47/SQRT(4)</f>
        <v>0.10544151237093873</v>
      </c>
      <c r="E48" s="17">
        <f>E47/SQRT(2)</f>
        <v>0.15173355215156581</v>
      </c>
      <c r="F48" s="17">
        <f>F47/SQRT(3)</f>
        <v>0.14600873430550704</v>
      </c>
    </row>
    <row r="51" spans="2:7" ht="18" x14ac:dyDescent="0.2">
      <c r="B51" s="19" t="s">
        <v>52</v>
      </c>
      <c r="C51" s="20"/>
      <c r="D51" s="20"/>
      <c r="E51" s="20"/>
      <c r="F51" s="20"/>
    </row>
    <row r="53" spans="2:7" ht="16" x14ac:dyDescent="0.2">
      <c r="B53" s="15" t="s">
        <v>53</v>
      </c>
      <c r="C53" s="1"/>
    </row>
    <row r="54" spans="2:7" x14ac:dyDescent="0.15">
      <c r="B54" s="2" t="s">
        <v>0</v>
      </c>
      <c r="E54" s="1">
        <v>0.48480000000000001</v>
      </c>
    </row>
    <row r="55" spans="2:7" x14ac:dyDescent="0.15">
      <c r="B55" s="2" t="s">
        <v>36</v>
      </c>
      <c r="E55" s="1">
        <v>0.7</v>
      </c>
    </row>
    <row r="56" spans="2:7" x14ac:dyDescent="0.15">
      <c r="B56" s="2" t="s">
        <v>37</v>
      </c>
      <c r="E56" s="46" t="s">
        <v>9</v>
      </c>
    </row>
    <row r="57" spans="2:7" x14ac:dyDescent="0.15">
      <c r="B57" s="2" t="s">
        <v>54</v>
      </c>
      <c r="E57" s="46" t="s">
        <v>49</v>
      </c>
    </row>
    <row r="58" spans="2:7" x14ac:dyDescent="0.15">
      <c r="B58" s="2" t="s">
        <v>55</v>
      </c>
      <c r="E58" s="1">
        <v>0.15379999999999999</v>
      </c>
    </row>
    <row r="61" spans="2:7" ht="16" x14ac:dyDescent="0.2">
      <c r="B61" s="15" t="s">
        <v>44</v>
      </c>
      <c r="D61" s="2"/>
      <c r="E61" s="1"/>
      <c r="F61" s="1"/>
    </row>
    <row r="62" spans="2:7" x14ac:dyDescent="0.15">
      <c r="C62" s="16" t="s">
        <v>45</v>
      </c>
      <c r="D62" s="16" t="s">
        <v>46</v>
      </c>
      <c r="E62" s="16" t="s">
        <v>47</v>
      </c>
      <c r="F62" s="16" t="s">
        <v>48</v>
      </c>
      <c r="G62" s="16" t="s">
        <v>5</v>
      </c>
    </row>
    <row r="63" spans="2:7" x14ac:dyDescent="0.15">
      <c r="B63" s="2" t="s">
        <v>6</v>
      </c>
      <c r="C63" s="1">
        <v>-3.5399999999999999E-4</v>
      </c>
      <c r="D63" s="1" t="s">
        <v>526</v>
      </c>
      <c r="E63" s="1" t="s">
        <v>49</v>
      </c>
      <c r="F63" s="1" t="s">
        <v>9</v>
      </c>
      <c r="G63" s="46" t="s">
        <v>50</v>
      </c>
    </row>
    <row r="64" spans="2:7" x14ac:dyDescent="0.15">
      <c r="B64" s="2" t="s">
        <v>7</v>
      </c>
      <c r="C64" s="1">
        <v>0.16070000000000001</v>
      </c>
      <c r="D64" s="1" t="s">
        <v>527</v>
      </c>
      <c r="E64" s="1" t="s">
        <v>49</v>
      </c>
      <c r="F64" s="1" t="s">
        <v>9</v>
      </c>
      <c r="G64" s="1">
        <v>0.71</v>
      </c>
    </row>
    <row r="65" spans="1:7" x14ac:dyDescent="0.15">
      <c r="B65" s="2" t="s">
        <v>8</v>
      </c>
      <c r="C65" s="1">
        <v>-4.99E-2</v>
      </c>
      <c r="D65" s="1" t="s">
        <v>528</v>
      </c>
      <c r="E65" s="1" t="s">
        <v>49</v>
      </c>
      <c r="F65" s="1" t="s">
        <v>9</v>
      </c>
      <c r="G65" s="1">
        <v>0.98</v>
      </c>
    </row>
    <row r="70" spans="1:7" ht="18" x14ac:dyDescent="0.2">
      <c r="A70" s="14" t="s">
        <v>517</v>
      </c>
    </row>
    <row r="73" spans="1:7" x14ac:dyDescent="0.15">
      <c r="B73" s="52"/>
      <c r="C73" s="18" t="s">
        <v>1</v>
      </c>
      <c r="D73" s="18" t="s">
        <v>2</v>
      </c>
      <c r="E73" s="18" t="s">
        <v>3</v>
      </c>
      <c r="F73" s="18" t="s">
        <v>4</v>
      </c>
    </row>
    <row r="74" spans="1:7" x14ac:dyDescent="0.15">
      <c r="B74" s="11" t="s">
        <v>32</v>
      </c>
      <c r="C74" s="17">
        <v>1.0214000597923913</v>
      </c>
      <c r="D74" s="17">
        <v>1.7034708172809621</v>
      </c>
      <c r="E74" s="17">
        <v>1.8506027590595451</v>
      </c>
      <c r="F74" s="17">
        <v>0.53107121217484354</v>
      </c>
    </row>
    <row r="75" spans="1:7" x14ac:dyDescent="0.15">
      <c r="B75" s="11" t="s">
        <v>33</v>
      </c>
      <c r="C75" s="17">
        <v>0.87192688516269734</v>
      </c>
      <c r="D75" s="17">
        <v>0.81916571078089773</v>
      </c>
      <c r="E75" s="17">
        <v>0.93677678728870861</v>
      </c>
      <c r="F75" s="17">
        <v>0.85846262646298377</v>
      </c>
    </row>
    <row r="76" spans="1:7" x14ac:dyDescent="0.15">
      <c r="B76" s="11" t="s">
        <v>34</v>
      </c>
      <c r="C76" s="17">
        <v>1.1066730550449113</v>
      </c>
      <c r="D76" s="17">
        <v>0.57986028367265796</v>
      </c>
      <c r="E76" s="17">
        <v>0.42859212061310747</v>
      </c>
      <c r="F76" s="17"/>
    </row>
    <row r="78" spans="1:7" x14ac:dyDescent="0.15">
      <c r="B78" s="17" t="s">
        <v>51</v>
      </c>
      <c r="C78" s="17">
        <f>AVERAGE(C74:C76)</f>
        <v>1</v>
      </c>
      <c r="D78" s="17">
        <f>AVERAGE(D74:D76)</f>
        <v>1.0341656039115059</v>
      </c>
      <c r="E78" s="17">
        <f>AVERAGE(E74:E76)</f>
        <v>1.0719905556537872</v>
      </c>
      <c r="F78" s="17">
        <f>AVERAGE(F74:F76)</f>
        <v>0.69476691931891366</v>
      </c>
    </row>
    <row r="79" spans="1:7" x14ac:dyDescent="0.15">
      <c r="B79" s="17" t="s">
        <v>13</v>
      </c>
      <c r="C79" s="17">
        <f>STDEV(C74:C76)</f>
        <v>0.11882724009220597</v>
      </c>
      <c r="D79" s="17">
        <f>STDEV(D74:D75)</f>
        <v>0.62529813744408747</v>
      </c>
      <c r="E79" s="17">
        <f>STDEV(E74:E76)</f>
        <v>0.72058353875891767</v>
      </c>
      <c r="F79" s="17">
        <f>STDEV(F74:F76)</f>
        <v>0.23150068914539815</v>
      </c>
    </row>
    <row r="80" spans="1:7" x14ac:dyDescent="0.15">
      <c r="B80" s="17" t="s">
        <v>14</v>
      </c>
      <c r="C80" s="17">
        <f>C79/SQRT(3)</f>
        <v>6.8604939054295405E-2</v>
      </c>
      <c r="D80" s="17">
        <f>D79/SQRT(3)</f>
        <v>0.36101604797711551</v>
      </c>
      <c r="E80" s="17">
        <f>E79/SQRT(3)</f>
        <v>0.4160291000760743</v>
      </c>
      <c r="F80" s="17">
        <f>F79/SQRT(2)</f>
        <v>0.16369570714407</v>
      </c>
    </row>
    <row r="83" spans="2:7" ht="18" x14ac:dyDescent="0.2">
      <c r="B83" s="19" t="s">
        <v>52</v>
      </c>
      <c r="C83" s="20"/>
      <c r="D83" s="20"/>
      <c r="E83" s="20"/>
      <c r="F83" s="20"/>
    </row>
    <row r="85" spans="2:7" ht="16" x14ac:dyDescent="0.2">
      <c r="B85" s="15" t="s">
        <v>53</v>
      </c>
      <c r="C85" s="1"/>
    </row>
    <row r="86" spans="2:7" x14ac:dyDescent="0.15">
      <c r="B86" s="2" t="s">
        <v>0</v>
      </c>
      <c r="E86" s="1">
        <v>0.25330000000000003</v>
      </c>
    </row>
    <row r="87" spans="2:7" x14ac:dyDescent="0.15">
      <c r="B87" s="2" t="s">
        <v>36</v>
      </c>
      <c r="E87" s="1">
        <v>0.85670000000000002</v>
      </c>
    </row>
    <row r="88" spans="2:7" x14ac:dyDescent="0.15">
      <c r="B88" s="2" t="s">
        <v>37</v>
      </c>
      <c r="E88" s="46" t="s">
        <v>9</v>
      </c>
    </row>
    <row r="89" spans="2:7" x14ac:dyDescent="0.15">
      <c r="B89" s="2" t="s">
        <v>54</v>
      </c>
      <c r="E89" s="46" t="s">
        <v>49</v>
      </c>
    </row>
    <row r="90" spans="2:7" x14ac:dyDescent="0.15">
      <c r="B90" s="2" t="s">
        <v>55</v>
      </c>
      <c r="E90" s="1">
        <v>9.7909999999999997E-2</v>
      </c>
    </row>
    <row r="93" spans="2:7" ht="16" x14ac:dyDescent="0.2">
      <c r="B93" s="15" t="s">
        <v>44</v>
      </c>
      <c r="D93" s="2"/>
      <c r="E93" s="1"/>
      <c r="F93" s="1"/>
    </row>
    <row r="94" spans="2:7" x14ac:dyDescent="0.15">
      <c r="C94" s="16" t="s">
        <v>45</v>
      </c>
      <c r="D94" s="16" t="s">
        <v>46</v>
      </c>
      <c r="E94" s="16" t="s">
        <v>47</v>
      </c>
      <c r="F94" s="16" t="s">
        <v>48</v>
      </c>
      <c r="G94" s="16" t="s">
        <v>5</v>
      </c>
    </row>
    <row r="95" spans="2:7" x14ac:dyDescent="0.15">
      <c r="B95" s="2" t="s">
        <v>6</v>
      </c>
      <c r="C95" s="1">
        <v>-3.4169999999999999E-2</v>
      </c>
      <c r="D95" s="1" t="s">
        <v>529</v>
      </c>
      <c r="E95" s="1" t="s">
        <v>49</v>
      </c>
      <c r="F95" s="1" t="s">
        <v>9</v>
      </c>
      <c r="G95" s="1">
        <v>0.99960000000000004</v>
      </c>
    </row>
    <row r="96" spans="2:7" x14ac:dyDescent="0.15">
      <c r="B96" s="2" t="s">
        <v>7</v>
      </c>
      <c r="C96" s="1">
        <v>-7.1989999999999998E-2</v>
      </c>
      <c r="D96" s="1" t="s">
        <v>530</v>
      </c>
      <c r="E96" s="1" t="s">
        <v>49</v>
      </c>
      <c r="F96" s="1" t="s">
        <v>9</v>
      </c>
      <c r="G96" s="1">
        <v>0.99619999999999997</v>
      </c>
    </row>
    <row r="97" spans="1:11" x14ac:dyDescent="0.15">
      <c r="B97" s="2" t="s">
        <v>8</v>
      </c>
      <c r="C97" s="1">
        <v>0.30520000000000003</v>
      </c>
      <c r="D97" s="1" t="s">
        <v>531</v>
      </c>
      <c r="E97" s="1" t="s">
        <v>49</v>
      </c>
      <c r="F97" s="1" t="s">
        <v>9</v>
      </c>
      <c r="G97" s="1">
        <v>0.85489999999999999</v>
      </c>
    </row>
    <row r="102" spans="1:11" x14ac:dyDescent="0.15">
      <c r="A102" s="52"/>
      <c r="B102" s="145"/>
      <c r="C102" s="145"/>
      <c r="D102" s="145"/>
      <c r="E102" s="145"/>
      <c r="G102" s="3"/>
      <c r="K102" s="16"/>
    </row>
    <row r="103" spans="1:11" x14ac:dyDescent="0.15">
      <c r="G103" s="1"/>
      <c r="I103" s="2"/>
      <c r="J103" s="1"/>
      <c r="K103" s="1"/>
    </row>
    <row r="104" spans="1:11" x14ac:dyDescent="0.15">
      <c r="G104" s="1"/>
      <c r="I104" s="2"/>
      <c r="J104" s="1"/>
      <c r="K104" s="1"/>
    </row>
    <row r="105" spans="1:11" x14ac:dyDescent="0.15">
      <c r="I105" s="2"/>
      <c r="J105" s="1"/>
      <c r="K105" s="1"/>
    </row>
  </sheetData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47</vt:i4>
      </vt:variant>
    </vt:vector>
  </HeadingPairs>
  <TitlesOfParts>
    <vt:vector size="47" baseType="lpstr">
      <vt:lpstr>Fig 2C</vt:lpstr>
      <vt:lpstr>Fig 4A</vt:lpstr>
      <vt:lpstr>Fig 4B</vt:lpstr>
      <vt:lpstr>Fig 4D</vt:lpstr>
      <vt:lpstr>Fig 4E</vt:lpstr>
      <vt:lpstr>Fig 4F</vt:lpstr>
      <vt:lpstr>Fig 4G</vt:lpstr>
      <vt:lpstr>Fig 4H</vt:lpstr>
      <vt:lpstr>Fig 4I</vt:lpstr>
      <vt:lpstr>Fig 4J</vt:lpstr>
      <vt:lpstr>Fig 4K</vt:lpstr>
      <vt:lpstr>Fig 6C</vt:lpstr>
      <vt:lpstr>Fig 6E</vt:lpstr>
      <vt:lpstr>Fig 6F</vt:lpstr>
      <vt:lpstr>Fig 6H</vt:lpstr>
      <vt:lpstr>Fig 6I</vt:lpstr>
      <vt:lpstr>Fig 6J</vt:lpstr>
      <vt:lpstr>Fig 6K</vt:lpstr>
      <vt:lpstr>Fig 7A</vt:lpstr>
      <vt:lpstr>Fig 7B</vt:lpstr>
      <vt:lpstr>Fig 7D</vt:lpstr>
      <vt:lpstr>Fig 7E</vt:lpstr>
      <vt:lpstr>Fig 7F</vt:lpstr>
      <vt:lpstr>Fig 7G</vt:lpstr>
      <vt:lpstr>Fig 7H</vt:lpstr>
      <vt:lpstr>Supp fig IIIA</vt:lpstr>
      <vt:lpstr>Supp fig IVE</vt:lpstr>
      <vt:lpstr>Supp fig VE</vt:lpstr>
      <vt:lpstr>Supp fig VIC</vt:lpstr>
      <vt:lpstr>Supp fig VIIB</vt:lpstr>
      <vt:lpstr>Supp fig VIIC</vt:lpstr>
      <vt:lpstr>Supp fig VIID</vt:lpstr>
      <vt:lpstr>Supp fig VIIE</vt:lpstr>
      <vt:lpstr>Supp fig VIIF</vt:lpstr>
      <vt:lpstr>Supp fig VIIG</vt:lpstr>
      <vt:lpstr>Supp fig VIIH</vt:lpstr>
      <vt:lpstr>Supp fig VIII</vt:lpstr>
      <vt:lpstr>Supp fig XIC</vt:lpstr>
      <vt:lpstr>Supp fig XID</vt:lpstr>
      <vt:lpstr>Supp fig XIE</vt:lpstr>
      <vt:lpstr>Supp fig XIF</vt:lpstr>
      <vt:lpstr>Supp fig XIIB</vt:lpstr>
      <vt:lpstr>Supp fig XIIC</vt:lpstr>
      <vt:lpstr>Supp fig XIIE_top</vt:lpstr>
      <vt:lpstr>Supp fig XIIE_bottom</vt:lpstr>
      <vt:lpstr>Supp fig XIIF</vt:lpstr>
      <vt:lpstr>Supp fig XIIG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Alessandra moretti</cp:lastModifiedBy>
  <dcterms:created xsi:type="dcterms:W3CDTF">2020-09-17T14:30:01Z</dcterms:created>
  <dcterms:modified xsi:type="dcterms:W3CDTF">2021-09-22T17:15:29Z</dcterms:modified>
</cp:coreProperties>
</file>